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sPINNI\"/>
    </mc:Choice>
  </mc:AlternateContent>
  <bookViews>
    <workbookView xWindow="0" yWindow="0" windowWidth="28710" windowHeight="9375" tabRatio="500" firstSheet="1" activeTab="2" xr2:uid="{00000000-000D-0000-FFFF-FFFF00000000}"/>
  </bookViews>
  <sheets>
    <sheet name="Tuloslaskelma" sheetId="1" state="hidden" r:id="rId1"/>
    <sheet name="Tase" sheetId="2" r:id="rId2"/>
    <sheet name="Talousarvio" sheetId="5" r:id="rId3"/>
    <sheet name="Poistosuunnitelma" sheetId="6" r:id="rId4"/>
  </sheets>
  <definedNames>
    <definedName name="_xlnm.Print_Area" localSheetId="0">Tuloslaskelma!$A$1:$G$106</definedName>
  </definedName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5" i="6" l="1"/>
  <c r="J15" i="6" s="1"/>
  <c r="I15" i="6" s="1"/>
  <c r="H15" i="6"/>
  <c r="C90" i="5"/>
  <c r="C80" i="5"/>
  <c r="C82" i="5" s="1"/>
  <c r="C76" i="5"/>
  <c r="C66" i="5"/>
  <c r="C68" i="5"/>
  <c r="C50" i="5"/>
  <c r="C39" i="5"/>
  <c r="C29" i="5"/>
  <c r="C23" i="5"/>
  <c r="C13" i="5"/>
  <c r="C8" i="5"/>
  <c r="C52" i="5" l="1"/>
  <c r="C31" i="5"/>
  <c r="C15" i="5"/>
  <c r="D7" i="2"/>
  <c r="F21" i="5"/>
  <c r="C54" i="5" l="1"/>
  <c r="C70" i="5" s="1"/>
  <c r="C84" i="5" s="1"/>
  <c r="C92" i="5" s="1"/>
  <c r="C96" i="5" s="1"/>
  <c r="D8" i="2"/>
  <c r="F28" i="5"/>
  <c r="D18" i="2" l="1"/>
  <c r="D6" i="2"/>
  <c r="D11" i="2" s="1"/>
  <c r="F90" i="5" l="1"/>
  <c r="F76" i="5"/>
  <c r="F82" i="5" s="1"/>
  <c r="F66" i="5"/>
  <c r="F62" i="5"/>
  <c r="F68" i="5" s="1"/>
  <c r="F50" i="5"/>
  <c r="F39" i="5"/>
  <c r="F29" i="5"/>
  <c r="F23" i="5"/>
  <c r="F13" i="5"/>
  <c r="F15" i="5" s="1"/>
  <c r="F8" i="5"/>
  <c r="F31" i="5" l="1"/>
  <c r="F52" i="5"/>
  <c r="G21" i="5"/>
  <c r="G11" i="5"/>
  <c r="G46" i="5"/>
  <c r="G6" i="5"/>
  <c r="M17" i="6"/>
  <c r="F54" i="5" l="1"/>
  <c r="F70" i="5" s="1"/>
  <c r="F84" i="5" s="1"/>
  <c r="F92" i="5" s="1"/>
  <c r="F96" i="5" s="1"/>
  <c r="G90" i="5"/>
  <c r="G80" i="5"/>
  <c r="G76" i="5"/>
  <c r="G66" i="5"/>
  <c r="G62" i="5"/>
  <c r="G50" i="5"/>
  <c r="G39" i="5"/>
  <c r="G29" i="5"/>
  <c r="G23" i="5"/>
  <c r="G13" i="5"/>
  <c r="G8" i="5"/>
  <c r="E90" i="5"/>
  <c r="E80" i="5"/>
  <c r="E76" i="5"/>
  <c r="E66" i="5"/>
  <c r="E62" i="5"/>
  <c r="E50" i="5"/>
  <c r="E39" i="5"/>
  <c r="E29" i="5"/>
  <c r="E23" i="5"/>
  <c r="E13" i="5"/>
  <c r="E8" i="5"/>
  <c r="G82" i="5" l="1"/>
  <c r="G68" i="5"/>
  <c r="G52" i="5"/>
  <c r="G31" i="5"/>
  <c r="G15" i="5"/>
  <c r="E82" i="5"/>
  <c r="E68" i="5"/>
  <c r="E52" i="5"/>
  <c r="E31" i="5"/>
  <c r="E15" i="5"/>
  <c r="E15" i="2"/>
  <c r="I29" i="5"/>
  <c r="G54" i="5" l="1"/>
  <c r="G70" i="5" s="1"/>
  <c r="G84" i="5" s="1"/>
  <c r="G92" i="5" s="1"/>
  <c r="G96" i="5" s="1"/>
  <c r="E54" i="5"/>
  <c r="E70" i="5" s="1"/>
  <c r="E84" i="5" s="1"/>
  <c r="E92" i="5" s="1"/>
  <c r="E96" i="5" s="1"/>
  <c r="E18" i="2"/>
  <c r="F18" i="2"/>
  <c r="E11" i="2"/>
  <c r="G27" i="6" l="1"/>
  <c r="H27" i="6"/>
  <c r="G26" i="6"/>
  <c r="H26" i="6"/>
  <c r="G24" i="6"/>
  <c r="H24" i="6"/>
  <c r="G38" i="6"/>
  <c r="H38" i="6"/>
  <c r="H14" i="6"/>
  <c r="G14" i="6"/>
  <c r="G39" i="6"/>
  <c r="H39" i="6"/>
  <c r="D41" i="6"/>
  <c r="J26" i="6" l="1"/>
  <c r="I26" i="6" s="1"/>
  <c r="J24" i="6"/>
  <c r="I24" i="6" s="1"/>
  <c r="J39" i="6"/>
  <c r="I39" i="6" s="1"/>
  <c r="J38" i="6"/>
  <c r="I38" i="6" s="1"/>
  <c r="J27" i="6"/>
  <c r="I27" i="6" s="1"/>
  <c r="J14" i="6"/>
  <c r="I14" i="6" s="1"/>
  <c r="I90" i="5"/>
  <c r="I80" i="5"/>
  <c r="I82" i="5" s="1"/>
  <c r="I76" i="5"/>
  <c r="I66" i="5"/>
  <c r="I62" i="5"/>
  <c r="I50" i="5"/>
  <c r="I39" i="5"/>
  <c r="I23" i="5"/>
  <c r="I13" i="5"/>
  <c r="I8" i="5"/>
  <c r="H50" i="5"/>
  <c r="H39" i="5"/>
  <c r="H13" i="5"/>
  <c r="H62" i="5"/>
  <c r="H68" i="5" s="1"/>
  <c r="H66" i="5"/>
  <c r="H90" i="5"/>
  <c r="H80" i="5"/>
  <c r="H82" i="5" s="1"/>
  <c r="H76" i="5"/>
  <c r="H29" i="5"/>
  <c r="H23" i="5"/>
  <c r="H8" i="5"/>
  <c r="H15" i="5" s="1"/>
  <c r="K80" i="5"/>
  <c r="L80" i="5"/>
  <c r="M80" i="5"/>
  <c r="N80" i="5"/>
  <c r="O80" i="5"/>
  <c r="P80" i="5"/>
  <c r="Q80" i="5"/>
  <c r="R80" i="5"/>
  <c r="S80" i="5"/>
  <c r="T80" i="5"/>
  <c r="U80" i="5"/>
  <c r="V80" i="5"/>
  <c r="J80" i="5"/>
  <c r="K50" i="5"/>
  <c r="K29" i="5"/>
  <c r="K23" i="5"/>
  <c r="K39" i="5"/>
  <c r="K13" i="5"/>
  <c r="K8" i="5"/>
  <c r="K62" i="5"/>
  <c r="K68" i="5" s="1"/>
  <c r="K66" i="5"/>
  <c r="K76" i="5"/>
  <c r="J90" i="5"/>
  <c r="J50" i="5"/>
  <c r="J52" i="5" s="1"/>
  <c r="J39" i="5"/>
  <c r="J29" i="5"/>
  <c r="J23" i="5"/>
  <c r="J13" i="5"/>
  <c r="J15" i="5" s="1"/>
  <c r="J8" i="5"/>
  <c r="J62" i="5"/>
  <c r="J66" i="5"/>
  <c r="J33" i="5"/>
  <c r="J56" i="5"/>
  <c r="J72" i="5"/>
  <c r="J76" i="5"/>
  <c r="J86" i="5"/>
  <c r="J17" i="5"/>
  <c r="K90" i="5"/>
  <c r="L8" i="5"/>
  <c r="L13" i="5"/>
  <c r="L23" i="5"/>
  <c r="L29" i="5"/>
  <c r="L39" i="5"/>
  <c r="L50" i="5"/>
  <c r="L52" i="5" s="1"/>
  <c r="L62" i="5"/>
  <c r="L66" i="5"/>
  <c r="L76" i="5"/>
  <c r="L82" i="5"/>
  <c r="L90" i="5"/>
  <c r="M90" i="5"/>
  <c r="M50" i="5"/>
  <c r="M39" i="5"/>
  <c r="M52" i="5" s="1"/>
  <c r="M29" i="5"/>
  <c r="M31" i="5" s="1"/>
  <c r="M23" i="5"/>
  <c r="M13" i="5"/>
  <c r="M8" i="5"/>
  <c r="M62" i="5"/>
  <c r="M66" i="5"/>
  <c r="M76" i="5"/>
  <c r="G9" i="6"/>
  <c r="H9" i="6"/>
  <c r="G10" i="6"/>
  <c r="H10" i="6"/>
  <c r="G19" i="6"/>
  <c r="H19" i="6"/>
  <c r="G20" i="6"/>
  <c r="H20" i="6"/>
  <c r="G21" i="6"/>
  <c r="H21" i="6"/>
  <c r="G22" i="6"/>
  <c r="H22" i="6"/>
  <c r="G23" i="6"/>
  <c r="H23" i="6"/>
  <c r="G25" i="6"/>
  <c r="H25" i="6"/>
  <c r="G32" i="6"/>
  <c r="H32" i="6"/>
  <c r="G33" i="6"/>
  <c r="H33" i="6"/>
  <c r="G34" i="6"/>
  <c r="H34" i="6"/>
  <c r="G35" i="6"/>
  <c r="H35" i="6"/>
  <c r="G36" i="6"/>
  <c r="H36" i="6"/>
  <c r="G37" i="6"/>
  <c r="H37" i="6"/>
  <c r="R90" i="5"/>
  <c r="R62" i="5"/>
  <c r="R66" i="5"/>
  <c r="R68" i="5"/>
  <c r="R13" i="5"/>
  <c r="R8" i="5"/>
  <c r="R29" i="5"/>
  <c r="R23" i="5"/>
  <c r="R39" i="5"/>
  <c r="R52" i="5" s="1"/>
  <c r="R50" i="5"/>
  <c r="R76" i="5"/>
  <c r="R82" i="5" s="1"/>
  <c r="Q90" i="5"/>
  <c r="Q39" i="5"/>
  <c r="Q50" i="5"/>
  <c r="Q23" i="5"/>
  <c r="Q29" i="5"/>
  <c r="Q8" i="5"/>
  <c r="Q13" i="5"/>
  <c r="Q62" i="5"/>
  <c r="Q66" i="5"/>
  <c r="Q76" i="5"/>
  <c r="P90" i="5"/>
  <c r="P50" i="5"/>
  <c r="P39" i="5"/>
  <c r="P29" i="5"/>
  <c r="P23" i="5"/>
  <c r="P13" i="5"/>
  <c r="P8" i="5"/>
  <c r="P62" i="5"/>
  <c r="P66" i="5"/>
  <c r="P76" i="5"/>
  <c r="O90" i="5"/>
  <c r="O50" i="5"/>
  <c r="O39" i="5"/>
  <c r="O29" i="5"/>
  <c r="O23" i="5"/>
  <c r="O13" i="5"/>
  <c r="O8" i="5"/>
  <c r="O62" i="5"/>
  <c r="O66" i="5"/>
  <c r="O76" i="5"/>
  <c r="O82" i="5" s="1"/>
  <c r="N90" i="5"/>
  <c r="N50" i="5"/>
  <c r="N39" i="5"/>
  <c r="N29" i="5"/>
  <c r="N23" i="5"/>
  <c r="N13" i="5"/>
  <c r="N8" i="5"/>
  <c r="N62" i="5"/>
  <c r="N66" i="5"/>
  <c r="N76" i="5"/>
  <c r="N82" i="5" s="1"/>
  <c r="V50" i="5"/>
  <c r="U50" i="5"/>
  <c r="T50" i="5"/>
  <c r="S50" i="5"/>
  <c r="V39" i="5"/>
  <c r="U39" i="5"/>
  <c r="T39" i="5"/>
  <c r="S39" i="5"/>
  <c r="F11" i="2"/>
  <c r="D8" i="1"/>
  <c r="D13" i="1"/>
  <c r="D23" i="1"/>
  <c r="D29" i="1"/>
  <c r="D31" i="1"/>
  <c r="D39" i="1"/>
  <c r="D49" i="1"/>
  <c r="D51" i="1"/>
  <c r="D61" i="1"/>
  <c r="D67" i="1" s="1"/>
  <c r="D65" i="1"/>
  <c r="D75" i="1"/>
  <c r="D79" i="1"/>
  <c r="D81" i="1" s="1"/>
  <c r="D89" i="1"/>
  <c r="D94" i="1"/>
  <c r="D96" i="1"/>
  <c r="C23" i="1"/>
  <c r="C29" i="1"/>
  <c r="C39" i="1"/>
  <c r="C49" i="1"/>
  <c r="C51" i="1" s="1"/>
  <c r="C13" i="1"/>
  <c r="C8" i="1"/>
  <c r="C15" i="1"/>
  <c r="C61" i="1"/>
  <c r="C67" i="1" s="1"/>
  <c r="C65" i="1"/>
  <c r="C75" i="1"/>
  <c r="C79" i="1"/>
  <c r="C81" i="1" s="1"/>
  <c r="C89" i="1"/>
  <c r="C94" i="1"/>
  <c r="C96" i="1"/>
  <c r="F13" i="1"/>
  <c r="F8" i="1"/>
  <c r="F15" i="1"/>
  <c r="F23" i="1"/>
  <c r="F31" i="1" s="1"/>
  <c r="F29" i="1"/>
  <c r="F49" i="1"/>
  <c r="F39" i="1"/>
  <c r="F61" i="1"/>
  <c r="F67" i="1" s="1"/>
  <c r="F65" i="1"/>
  <c r="F79" i="1"/>
  <c r="F75" i="1"/>
  <c r="F89" i="1"/>
  <c r="F96" i="1" s="1"/>
  <c r="F94" i="1"/>
  <c r="E13" i="1"/>
  <c r="E8" i="1"/>
  <c r="E23" i="1"/>
  <c r="E31" i="1" s="1"/>
  <c r="E29" i="1"/>
  <c r="E49" i="1"/>
  <c r="E39" i="1"/>
  <c r="E51" i="1"/>
  <c r="E61" i="1"/>
  <c r="E65" i="1"/>
  <c r="E67" i="1"/>
  <c r="E79" i="1"/>
  <c r="E81" i="1" s="1"/>
  <c r="E75" i="1"/>
  <c r="E89" i="1"/>
  <c r="E96" i="1" s="1"/>
  <c r="E94" i="1"/>
  <c r="L15" i="5" l="1"/>
  <c r="Q82" i="5"/>
  <c r="H52" i="5"/>
  <c r="E15" i="1"/>
  <c r="E53" i="1" s="1"/>
  <c r="E69" i="1" s="1"/>
  <c r="E83" i="1" s="1"/>
  <c r="E98" i="1" s="1"/>
  <c r="E101" i="1" s="1"/>
  <c r="F81" i="1"/>
  <c r="F51" i="1"/>
  <c r="F53" i="1" s="1"/>
  <c r="F69" i="1" s="1"/>
  <c r="F83" i="1" s="1"/>
  <c r="F98" i="1" s="1"/>
  <c r="F101" i="1" s="1"/>
  <c r="C31" i="1"/>
  <c r="C53" i="1" s="1"/>
  <c r="C69" i="1" s="1"/>
  <c r="C83" i="1" s="1"/>
  <c r="C98" i="1" s="1"/>
  <c r="C101" i="1" s="1"/>
  <c r="D15" i="1"/>
  <c r="D53" i="1" s="1"/>
  <c r="D69" i="1" s="1"/>
  <c r="D83" i="1" s="1"/>
  <c r="D98" i="1" s="1"/>
  <c r="D101" i="1" s="1"/>
  <c r="P15" i="5"/>
  <c r="P52" i="5"/>
  <c r="M82" i="5"/>
  <c r="M15" i="5"/>
  <c r="L68" i="5"/>
  <c r="L31" i="5"/>
  <c r="J68" i="5"/>
  <c r="K15" i="5"/>
  <c r="P82" i="5"/>
  <c r="N52" i="5"/>
  <c r="N15" i="5"/>
  <c r="O15" i="5"/>
  <c r="O52" i="5"/>
  <c r="Q15" i="5"/>
  <c r="Q52" i="5"/>
  <c r="K31" i="5"/>
  <c r="R31" i="5"/>
  <c r="K52" i="5"/>
  <c r="H31" i="5"/>
  <c r="H54" i="5" s="1"/>
  <c r="H70" i="5" s="1"/>
  <c r="H84" i="5" s="1"/>
  <c r="H92" i="5" s="1"/>
  <c r="H96" i="5" s="1"/>
  <c r="N68" i="5"/>
  <c r="N31" i="5"/>
  <c r="O68" i="5"/>
  <c r="O31" i="5"/>
  <c r="O54" i="5" s="1"/>
  <c r="O70" i="5" s="1"/>
  <c r="O84" i="5" s="1"/>
  <c r="O92" i="5" s="1"/>
  <c r="O96" i="5" s="1"/>
  <c r="P68" i="5"/>
  <c r="P31" i="5"/>
  <c r="Q68" i="5"/>
  <c r="Q31" i="5"/>
  <c r="Q54" i="5" s="1"/>
  <c r="Q70" i="5" s="1"/>
  <c r="Q84" i="5" s="1"/>
  <c r="Q92" i="5" s="1"/>
  <c r="Q96" i="5" s="1"/>
  <c r="M68" i="5"/>
  <c r="J31" i="5"/>
  <c r="J82" i="5"/>
  <c r="K82" i="5"/>
  <c r="R15" i="5"/>
  <c r="R54" i="5" s="1"/>
  <c r="R70" i="5" s="1"/>
  <c r="R84" i="5" s="1"/>
  <c r="R92" i="5" s="1"/>
  <c r="R96" i="5" s="1"/>
  <c r="I68" i="5"/>
  <c r="J34" i="6"/>
  <c r="I34" i="6" s="1"/>
  <c r="J32" i="6"/>
  <c r="I32" i="6" s="1"/>
  <c r="J23" i="6"/>
  <c r="I23" i="6" s="1"/>
  <c r="J21" i="6"/>
  <c r="I21" i="6" s="1"/>
  <c r="J19" i="6"/>
  <c r="I19" i="6" s="1"/>
  <c r="J9" i="6"/>
  <c r="I9" i="6" s="1"/>
  <c r="J36" i="6"/>
  <c r="I36" i="6" s="1"/>
  <c r="H41" i="6"/>
  <c r="I52" i="5"/>
  <c r="I31" i="5"/>
  <c r="I15" i="5"/>
  <c r="M54" i="5"/>
  <c r="M70" i="5" s="1"/>
  <c r="M84" i="5" s="1"/>
  <c r="M92" i="5" s="1"/>
  <c r="M96" i="5" s="1"/>
  <c r="J54" i="5"/>
  <c r="J70" i="5" s="1"/>
  <c r="J84" i="5" s="1"/>
  <c r="J92" i="5" s="1"/>
  <c r="J96" i="5" s="1"/>
  <c r="N54" i="5"/>
  <c r="N70" i="5" s="1"/>
  <c r="N84" i="5" s="1"/>
  <c r="N92" i="5" s="1"/>
  <c r="N96" i="5" s="1"/>
  <c r="P54" i="5"/>
  <c r="P70" i="5" s="1"/>
  <c r="P84" i="5" s="1"/>
  <c r="P92" i="5" s="1"/>
  <c r="P96" i="5" s="1"/>
  <c r="L54" i="5"/>
  <c r="L70" i="5" s="1"/>
  <c r="L84" i="5" s="1"/>
  <c r="L92" i="5" s="1"/>
  <c r="L96" i="5" s="1"/>
  <c r="J37" i="6"/>
  <c r="I37" i="6" s="1"/>
  <c r="J35" i="6"/>
  <c r="I35" i="6" s="1"/>
  <c r="J33" i="6"/>
  <c r="I33" i="6" s="1"/>
  <c r="J25" i="6"/>
  <c r="I25" i="6" s="1"/>
  <c r="J22" i="6"/>
  <c r="I22" i="6" s="1"/>
  <c r="J20" i="6"/>
  <c r="I20" i="6" s="1"/>
  <c r="J10" i="6"/>
  <c r="I10" i="6" s="1"/>
  <c r="K54" i="5" l="1"/>
  <c r="K70" i="5" s="1"/>
  <c r="K84" i="5" s="1"/>
  <c r="K92" i="5" s="1"/>
  <c r="K96" i="5" s="1"/>
  <c r="I54" i="5"/>
  <c r="I70" i="5" s="1"/>
  <c r="I84" i="5" s="1"/>
  <c r="I92" i="5" s="1"/>
  <c r="I96" i="5" s="1"/>
  <c r="J4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Samuli Määttä</author>
  </authors>
  <commentList>
    <comment ref="G6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S20-tuloista puuttuu kokonaan holvi ja käteistuotot
Odotettavissa ~9031</t>
        </r>
      </text>
    </comment>
    <comment ref="G1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Puuttuu S20-maksuja kuten Kuivaamo ja osa artistimaksuista ~5000</t>
        </r>
      </text>
    </comment>
    <comment ref="G2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Odotettavissa ~1500</t>
        </r>
      </text>
    </comment>
    <comment ref="G28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Ei voida laskea/arvioida vielä</t>
        </r>
      </text>
    </comment>
    <comment ref="G38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IRC-maksut?</t>
        </r>
      </text>
    </comment>
    <comment ref="G46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Aktivistisauna puuttuu, ~300</t>
        </r>
      </text>
    </comment>
    <comment ref="G94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Samuli Määttä:</t>
        </r>
        <r>
          <rPr>
            <sz val="9"/>
            <color indexed="81"/>
            <rFont val="Tahoma"/>
            <charset val="1"/>
          </rPr>
          <t xml:space="preserve">
Ei laskettavissa vielä</t>
        </r>
      </text>
    </comment>
  </commentList>
</comments>
</file>

<file path=xl/sharedStrings.xml><?xml version="1.0" encoding="utf-8"?>
<sst xmlns="http://schemas.openxmlformats.org/spreadsheetml/2006/main" count="327" uniqueCount="131">
  <si>
    <t>1. VARSINAINEN TOIMINTA</t>
  </si>
  <si>
    <t>1.1  TAPAHTUMATOIMINTA</t>
  </si>
  <si>
    <t>TUOTOT</t>
  </si>
  <si>
    <t>Tapahtumien tuotot</t>
  </si>
  <si>
    <t>Excursiotuotot</t>
  </si>
  <si>
    <t>Tuotot yhteensä</t>
  </si>
  <si>
    <t>KULUT</t>
  </si>
  <si>
    <t>Tapahtumien kulut</t>
  </si>
  <si>
    <t>Excursiokulut</t>
  </si>
  <si>
    <t>Kulut yhteensä</t>
  </si>
  <si>
    <t>Yhteensä</t>
  </si>
  <si>
    <t>1.2  MYYNTI JA VUOKRAUSTOIMINTA</t>
  </si>
  <si>
    <t>Vuokraustuotot</t>
  </si>
  <si>
    <t>Spinni-tuotteiden myyntituotot</t>
  </si>
  <si>
    <t>Spinni-tuotteiden kulut</t>
  </si>
  <si>
    <t>1.3  YLEINEN TOIMINTA</t>
  </si>
  <si>
    <t>Kokoustuotot</t>
  </si>
  <si>
    <t>Varsinaisen toiminnan muut tuotot</t>
  </si>
  <si>
    <t>Kokouskulut</t>
  </si>
  <si>
    <t>Laitehankinnat</t>
  </si>
  <si>
    <t>Kerhohuoneen kulut</t>
  </si>
  <si>
    <t>Varsinaisen toiminnan muut kulut</t>
  </si>
  <si>
    <t>Varsinainen toiminta yhteensä</t>
  </si>
  <si>
    <t>2. VARAINHANKINTA</t>
  </si>
  <si>
    <t>Jäsenmaksutuotot</t>
  </si>
  <si>
    <t>Muut tuotot</t>
  </si>
  <si>
    <t>Yleisavustukset</t>
  </si>
  <si>
    <t>Muut kulut</t>
  </si>
  <si>
    <t>Varainhankinta yhteensä</t>
  </si>
  <si>
    <t>Tuotto-/kulujäämä</t>
  </si>
  <si>
    <t>Korkotuotot</t>
  </si>
  <si>
    <t>Poistot kalustosta</t>
  </si>
  <si>
    <t>Pankkikulut</t>
  </si>
  <si>
    <t>Satunnaiset tuotot</t>
  </si>
  <si>
    <t>Satunnaiset kulut</t>
  </si>
  <si>
    <t>Varaston muutos</t>
  </si>
  <si>
    <t>Oikaisut</t>
  </si>
  <si>
    <t>TILIKAUDEN VOITTO/TAPPIO</t>
  </si>
  <si>
    <t>TP2012</t>
    <phoneticPr fontId="2" type="noConversion"/>
  </si>
  <si>
    <t>TP2012</t>
    <phoneticPr fontId="2" type="noConversion"/>
  </si>
  <si>
    <t>Virkistystoiminnan kulut</t>
    <phoneticPr fontId="2" type="noConversion"/>
  </si>
  <si>
    <t>TP2013</t>
  </si>
  <si>
    <t>Myyntiartikkelien tuotot</t>
  </si>
  <si>
    <t>Myyntiartikkelien kulut</t>
  </si>
  <si>
    <t>Verkkopalveluiden tuotot</t>
  </si>
  <si>
    <t>Verkkopalveluiden kulut</t>
  </si>
  <si>
    <t>4. SATUNNAISET ERÄT</t>
  </si>
  <si>
    <t>3. RAHOITUSTOIMINTA</t>
  </si>
  <si>
    <t>Rahoitustoiminta yhteensä</t>
  </si>
  <si>
    <t>Satunnaiset erät yhteensä</t>
  </si>
  <si>
    <t>TP2014</t>
  </si>
  <si>
    <t>TA2014</t>
  </si>
  <si>
    <t>VASTAAVAA</t>
  </si>
  <si>
    <t>TP 2014</t>
  </si>
  <si>
    <t>TP 2013</t>
  </si>
  <si>
    <t>TP 2012</t>
  </si>
  <si>
    <t>Kalusto</t>
  </si>
  <si>
    <t>Siirtosaamiset</t>
  </si>
  <si>
    <t>Tavaravarasto</t>
  </si>
  <si>
    <t>Kassa</t>
  </si>
  <si>
    <t>Pankkitili Nordea</t>
  </si>
  <si>
    <t>Vastaavaa yhteensä</t>
  </si>
  <si>
    <t>VASTATTAVAA</t>
  </si>
  <si>
    <t>Ed. tilikausien yli-/alijäämä</t>
  </si>
  <si>
    <t>Siirtovelat</t>
  </si>
  <si>
    <t>Tilikauden tulos</t>
  </si>
  <si>
    <t>Vastattavaa yhteensä</t>
  </si>
  <si>
    <t>TA2013</t>
  </si>
  <si>
    <t>TP2012</t>
  </si>
  <si>
    <t>TA2012</t>
  </si>
  <si>
    <t>TP2011</t>
  </si>
  <si>
    <t>TA2011</t>
  </si>
  <si>
    <t>TP2010</t>
  </si>
  <si>
    <t>TA2010</t>
  </si>
  <si>
    <t>TP 2009</t>
  </si>
  <si>
    <t>TP 2008</t>
  </si>
  <si>
    <t>Myyntiartikkeleiden tuotot</t>
  </si>
  <si>
    <t>Myyntiartikkeleiden kulut</t>
  </si>
  <si>
    <t>Aktivointi taseeseen</t>
  </si>
  <si>
    <t>Virkistystoiminnan kulut</t>
  </si>
  <si>
    <t>3. SIJOITUS- JA RAHOITUSTOIMINTA</t>
  </si>
  <si>
    <t>Sijoitus- ja rahoitustoiminta yhteensä</t>
  </si>
  <si>
    <t>4. SATUNNAISET TUOTOT JA KULUT</t>
  </si>
  <si>
    <t>Satunnaiset tuotot ja kulut yhteensä</t>
  </si>
  <si>
    <t>Omatoiminen tuotto-/kulujäämä</t>
  </si>
  <si>
    <t>Σ</t>
  </si>
  <si>
    <t>Native Instruments Audio 10 -äänikortti</t>
  </si>
  <si>
    <t>K&amp;M kaiuttimien jalat</t>
  </si>
  <si>
    <t>Trussien suorat palat</t>
  </si>
  <si>
    <t>Trussien kulmapalat</t>
  </si>
  <si>
    <t>Stairville pöytä</t>
  </si>
  <si>
    <t xml:space="preserve">AKG PW45 langaton mikrofoni </t>
  </si>
  <si>
    <t>Muut</t>
  </si>
  <si>
    <t>1 x American DJ Mega TriPAR</t>
  </si>
  <si>
    <t>Stairville UV-lamppu 60cm</t>
  </si>
  <si>
    <t>3 x Stairville LED Par56 UV</t>
  </si>
  <si>
    <t>Stairville PS1500DMX -strobo</t>
  </si>
  <si>
    <t>6 x American DJ Tripar</t>
  </si>
  <si>
    <t>Enttec</t>
  </si>
  <si>
    <t xml:space="preserve">Valot </t>
  </si>
  <si>
    <t>Soittimet ja mikserit</t>
  </si>
  <si>
    <t>Behringer DCX2496 Ultradrive Pro</t>
  </si>
  <si>
    <t>RCF LF18X400 -subbarit</t>
  </si>
  <si>
    <t>Äänentoisto</t>
  </si>
  <si>
    <t>Nykyarvo [ € ]</t>
  </si>
  <si>
    <t>Poistettu [ € ]</t>
  </si>
  <si>
    <t xml:space="preserve"> Poistoerä [ € ]</t>
  </si>
  <si>
    <t>Poistettu [ a ]</t>
  </si>
  <si>
    <t>Poistoaika [ a ]</t>
  </si>
  <si>
    <t>Hankintavuosi</t>
  </si>
  <si>
    <t>Laite</t>
  </si>
  <si>
    <t>&lt;- muuta vuosittain. Ohjelma laskee poistot automaattisesti</t>
  </si>
  <si>
    <t>Spinni</t>
  </si>
  <si>
    <t>POISTOSUUNNITELMA</t>
  </si>
  <si>
    <t>TA2015</t>
  </si>
  <si>
    <t>TA2016</t>
  </si>
  <si>
    <t>TP2015</t>
  </si>
  <si>
    <t>CDJ-2000 soitinpari</t>
  </si>
  <si>
    <t>Serato-boksi</t>
  </si>
  <si>
    <t>Siniaaltoinvertteri 24VDC / 230 VAC 1500W</t>
  </si>
  <si>
    <t>MagicQ Midi timecode interface</t>
  </si>
  <si>
    <t>2 x ADJ Mega TriPAR profile</t>
  </si>
  <si>
    <t>Behringer LC2412 Eurolight mixing console</t>
  </si>
  <si>
    <t>TP 2015</t>
  </si>
  <si>
    <t>TA2017</t>
  </si>
  <si>
    <t>TP2016</t>
  </si>
  <si>
    <t>ARVIO</t>
  </si>
  <si>
    <t>TP 2016</t>
  </si>
  <si>
    <t>TP2017</t>
  </si>
  <si>
    <t>TA2018</t>
  </si>
  <si>
    <t>DJM-900NXS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</si>
</sst>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7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666699"/>
      <name val="Arial"/>
      <family val="2"/>
    </font>
    <font>
      <sz val="10"/>
      <name val="Arial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16" fillId="0" borderId="0"/>
    <xf numFmtId="0" fontId="22" fillId="0" borderId="0"/>
    <xf numFmtId="0" fontId="1" fillId="0" borderId="0"/>
  </cellStyleXfs>
  <cellXfs count="17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2" fontId="4" fillId="0" borderId="2" xfId="0" applyNumberFormat="1" applyFont="1" applyBorder="1"/>
    <xf numFmtId="0" fontId="4" fillId="0" borderId="2" xfId="0" applyFont="1" applyBorder="1"/>
    <xf numFmtId="0" fontId="7" fillId="0" borderId="0" xfId="0" applyFont="1"/>
    <xf numFmtId="2" fontId="7" fillId="0" borderId="1" xfId="0" applyNumberFormat="1" applyFont="1" applyBorder="1"/>
    <xf numFmtId="2" fontId="7" fillId="0" borderId="0" xfId="0" applyNumberFormat="1" applyFont="1"/>
    <xf numFmtId="2" fontId="3" fillId="0" borderId="1" xfId="0" applyNumberFormat="1" applyFont="1" applyBorder="1"/>
    <xf numFmtId="2" fontId="3" fillId="0" borderId="0" xfId="0" applyNumberFormat="1" applyFont="1"/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2" fontId="11" fillId="0" borderId="1" xfId="0" applyNumberFormat="1" applyFont="1" applyBorder="1"/>
    <xf numFmtId="2" fontId="11" fillId="0" borderId="0" xfId="0" applyNumberFormat="1" applyFont="1"/>
    <xf numFmtId="2" fontId="10" fillId="0" borderId="1" xfId="0" applyNumberFormat="1" applyFont="1" applyBorder="1"/>
    <xf numFmtId="0" fontId="12" fillId="0" borderId="0" xfId="0" applyFont="1"/>
    <xf numFmtId="2" fontId="4" fillId="0" borderId="0" xfId="0" applyNumberFormat="1" applyFont="1" applyBorder="1"/>
    <xf numFmtId="2" fontId="9" fillId="0" borderId="0" xfId="0" applyNumberFormat="1" applyFont="1"/>
    <xf numFmtId="2" fontId="0" fillId="0" borderId="0" xfId="0" applyNumberFormat="1"/>
    <xf numFmtId="0" fontId="3" fillId="0" borderId="0" xfId="0" applyFont="1" applyBorder="1"/>
    <xf numFmtId="2" fontId="10" fillId="0" borderId="0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3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2" fontId="11" fillId="0" borderId="0" xfId="0" applyNumberFormat="1" applyFont="1" applyBorder="1"/>
    <xf numFmtId="2" fontId="3" fillId="0" borderId="0" xfId="0" applyNumberFormat="1" applyFont="1" applyBorder="1"/>
    <xf numFmtId="2" fontId="13" fillId="0" borderId="0" xfId="0" applyNumberFormat="1" applyFont="1" applyBorder="1"/>
    <xf numFmtId="0" fontId="3" fillId="0" borderId="0" xfId="0" applyFont="1"/>
    <xf numFmtId="0" fontId="3" fillId="0" borderId="0" xfId="0" applyFont="1"/>
    <xf numFmtId="164" fontId="4" fillId="0" borderId="0" xfId="0" applyNumberFormat="1" applyFont="1"/>
    <xf numFmtId="164" fontId="10" fillId="0" borderId="1" xfId="0" applyNumberFormat="1" applyFont="1" applyBorder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4" fillId="0" borderId="2" xfId="0" applyNumberFormat="1" applyFont="1" applyBorder="1"/>
    <xf numFmtId="164" fontId="7" fillId="0" borderId="0" xfId="0" applyNumberFormat="1" applyFont="1"/>
    <xf numFmtId="164" fontId="0" fillId="0" borderId="0" xfId="0" applyNumberFormat="1"/>
    <xf numFmtId="164" fontId="6" fillId="0" borderId="0" xfId="0" applyNumberFormat="1" applyFont="1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2" fontId="0" fillId="0" borderId="1" xfId="0" applyNumberFormat="1" applyBorder="1"/>
    <xf numFmtId="2" fontId="14" fillId="0" borderId="0" xfId="0" applyNumberFormat="1" applyFont="1" applyAlignment="1">
      <alignment horizontal="center" vertical="center"/>
    </xf>
    <xf numFmtId="0" fontId="17" fillId="0" borderId="0" xfId="1" applyFont="1"/>
    <xf numFmtId="2" fontId="17" fillId="0" borderId="0" xfId="1" applyNumberFormat="1" applyFont="1"/>
    <xf numFmtId="0" fontId="16" fillId="0" borderId="0" xfId="1" applyAlignment="1">
      <alignment wrapText="1"/>
    </xf>
    <xf numFmtId="0" fontId="10" fillId="0" borderId="0" xfId="1" applyFont="1"/>
    <xf numFmtId="2" fontId="10" fillId="0" borderId="0" xfId="1" applyNumberFormat="1" applyFont="1"/>
    <xf numFmtId="0" fontId="18" fillId="0" borderId="0" xfId="1" applyFont="1"/>
    <xf numFmtId="2" fontId="18" fillId="0" borderId="0" xfId="1" applyNumberFormat="1" applyFont="1"/>
    <xf numFmtId="0" fontId="20" fillId="0" borderId="0" xfId="1" applyFont="1"/>
    <xf numFmtId="2" fontId="20" fillId="0" borderId="0" xfId="1" applyNumberFormat="1" applyFont="1"/>
    <xf numFmtId="0" fontId="18" fillId="0" borderId="0" xfId="1" applyFont="1" applyAlignment="1">
      <alignment horizontal="right"/>
    </xf>
    <xf numFmtId="2" fontId="21" fillId="0" borderId="0" xfId="1" applyNumberFormat="1" applyFont="1"/>
    <xf numFmtId="0" fontId="21" fillId="0" borderId="0" xfId="1" applyFont="1" applyAlignment="1">
      <alignment horizontal="right"/>
    </xf>
    <xf numFmtId="2" fontId="18" fillId="0" borderId="0" xfId="1" applyNumberFormat="1" applyFont="1" applyBorder="1"/>
    <xf numFmtId="2" fontId="18" fillId="0" borderId="2" xfId="1" applyNumberFormat="1" applyFont="1" applyBorder="1"/>
    <xf numFmtId="0" fontId="18" fillId="0" borderId="2" xfId="1" applyFont="1" applyBorder="1" applyAlignment="1">
      <alignment horizontal="right"/>
    </xf>
    <xf numFmtId="2" fontId="18" fillId="0" borderId="1" xfId="1" applyNumberFormat="1" applyFont="1" applyBorder="1"/>
    <xf numFmtId="0" fontId="18" fillId="0" borderId="1" xfId="1" applyFont="1" applyBorder="1" applyAlignment="1">
      <alignment horizontal="right"/>
    </xf>
    <xf numFmtId="0" fontId="18" fillId="0" borderId="2" xfId="1" applyFont="1" applyBorder="1"/>
    <xf numFmtId="0" fontId="10" fillId="0" borderId="1" xfId="1" applyFont="1" applyBorder="1"/>
    <xf numFmtId="2" fontId="10" fillId="0" borderId="1" xfId="1" applyNumberFormat="1" applyFont="1" applyBorder="1"/>
    <xf numFmtId="0" fontId="10" fillId="0" borderId="1" xfId="1" applyFont="1" applyBorder="1" applyAlignment="1">
      <alignment horizontal="right"/>
    </xf>
    <xf numFmtId="0" fontId="10" fillId="0" borderId="0" xfId="1" applyFont="1" applyAlignment="1">
      <alignment wrapText="1"/>
    </xf>
    <xf numFmtId="0" fontId="18" fillId="0" borderId="0" xfId="1" applyFont="1" applyBorder="1" applyAlignment="1">
      <alignment horizontal="right"/>
    </xf>
    <xf numFmtId="0" fontId="11" fillId="0" borderId="0" xfId="1" applyFont="1"/>
    <xf numFmtId="2" fontId="11" fillId="0" borderId="1" xfId="1" applyNumberFormat="1" applyFont="1" applyBorder="1"/>
    <xf numFmtId="2" fontId="11" fillId="0" borderId="0" xfId="1" applyNumberFormat="1" applyFont="1"/>
    <xf numFmtId="0" fontId="10" fillId="0" borderId="2" xfId="1" applyFont="1" applyBorder="1"/>
    <xf numFmtId="2" fontId="16" fillId="0" borderId="0" xfId="1" applyNumberFormat="1" applyAlignment="1">
      <alignment wrapText="1"/>
    </xf>
    <xf numFmtId="0" fontId="22" fillId="0" borderId="0" xfId="2"/>
    <xf numFmtId="0" fontId="22" fillId="0" borderId="0" xfId="2" applyNumberFormat="1" applyBorder="1"/>
    <xf numFmtId="0" fontId="22" fillId="0" borderId="0" xfId="2" applyBorder="1"/>
    <xf numFmtId="0" fontId="22" fillId="0" borderId="0" xfId="2" applyFill="1" applyBorder="1"/>
    <xf numFmtId="0" fontId="22" fillId="2" borderId="3" xfId="2" applyFill="1" applyBorder="1"/>
    <xf numFmtId="0" fontId="22" fillId="2" borderId="4" xfId="2" applyFill="1" applyBorder="1"/>
    <xf numFmtId="0" fontId="22" fillId="2" borderId="4" xfId="2" applyNumberFormat="1" applyFill="1" applyBorder="1"/>
    <xf numFmtId="0" fontId="22" fillId="2" borderId="5" xfId="2" applyFill="1" applyBorder="1"/>
    <xf numFmtId="0" fontId="22" fillId="2" borderId="6" xfId="2" applyFill="1" applyBorder="1"/>
    <xf numFmtId="165" fontId="22" fillId="2" borderId="1" xfId="2" applyNumberFormat="1" applyFill="1" applyBorder="1"/>
    <xf numFmtId="0" fontId="13" fillId="2" borderId="1" xfId="2" applyNumberFormat="1" applyFont="1" applyFill="1" applyBorder="1" applyAlignment="1">
      <alignment horizontal="right"/>
    </xf>
    <xf numFmtId="165" fontId="22" fillId="0" borderId="1" xfId="2" applyNumberFormat="1" applyBorder="1"/>
    <xf numFmtId="0" fontId="22" fillId="2" borderId="1" xfId="2" applyNumberFormat="1" applyFill="1" applyBorder="1"/>
    <xf numFmtId="0" fontId="22" fillId="2" borderId="0" xfId="2" applyNumberFormat="1" applyFill="1" applyBorder="1"/>
    <xf numFmtId="165" fontId="22" fillId="2" borderId="0" xfId="2" applyNumberFormat="1" applyFill="1" applyBorder="1"/>
    <xf numFmtId="0" fontId="13" fillId="2" borderId="0" xfId="2" applyNumberFormat="1" applyFont="1" applyFill="1" applyBorder="1" applyAlignment="1">
      <alignment horizontal="right"/>
    </xf>
    <xf numFmtId="0" fontId="22" fillId="2" borderId="7" xfId="2" applyFill="1" applyBorder="1"/>
    <xf numFmtId="0" fontId="22" fillId="0" borderId="0" xfId="2" applyFill="1"/>
    <xf numFmtId="165" fontId="22" fillId="2" borderId="8" xfId="2" applyNumberFormat="1" applyFill="1" applyBorder="1"/>
    <xf numFmtId="1" fontId="22" fillId="2" borderId="8" xfId="2" applyNumberFormat="1" applyFill="1" applyBorder="1"/>
    <xf numFmtId="1" fontId="22" fillId="2" borderId="0" xfId="2" applyNumberFormat="1" applyFill="1" applyBorder="1"/>
    <xf numFmtId="0" fontId="4" fillId="2" borderId="0" xfId="3" applyFont="1" applyFill="1" applyBorder="1"/>
    <xf numFmtId="0" fontId="4" fillId="2" borderId="8" xfId="3" applyFont="1" applyFill="1" applyBorder="1"/>
    <xf numFmtId="0" fontId="4" fillId="2" borderId="0" xfId="3" applyFont="1" applyFill="1"/>
    <xf numFmtId="0" fontId="3" fillId="2" borderId="0" xfId="3" applyFont="1" applyFill="1"/>
    <xf numFmtId="0" fontId="13" fillId="2" borderId="9" xfId="2" applyFont="1" applyFill="1" applyBorder="1"/>
    <xf numFmtId="0" fontId="13" fillId="2" borderId="10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22" fillId="2" borderId="0" xfId="2" applyFill="1" applyBorder="1"/>
    <xf numFmtId="0" fontId="8" fillId="2" borderId="0" xfId="2" applyFont="1" applyFill="1" applyBorder="1"/>
    <xf numFmtId="0" fontId="22" fillId="3" borderId="0" xfId="2" applyFill="1" applyBorder="1" applyAlignment="1">
      <alignment horizontal="left"/>
    </xf>
    <xf numFmtId="0" fontId="8" fillId="2" borderId="0" xfId="2" applyFont="1" applyFill="1" applyBorder="1" applyAlignment="1">
      <alignment horizontal="right"/>
    </xf>
    <xf numFmtId="0" fontId="22" fillId="2" borderId="2" xfId="2" applyFill="1" applyBorder="1"/>
    <xf numFmtId="0" fontId="23" fillId="2" borderId="2" xfId="2" applyFont="1" applyFill="1" applyBorder="1"/>
    <xf numFmtId="0" fontId="22" fillId="2" borderId="12" xfId="2" applyFill="1" applyBorder="1"/>
    <xf numFmtId="0" fontId="22" fillId="2" borderId="13" xfId="2" applyFill="1" applyBorder="1"/>
    <xf numFmtId="0" fontId="22" fillId="2" borderId="14" xfId="2" applyFill="1" applyBorder="1"/>
    <xf numFmtId="165" fontId="13" fillId="2" borderId="9" xfId="2" applyNumberFormat="1" applyFont="1" applyFill="1" applyBorder="1"/>
    <xf numFmtId="165" fontId="4" fillId="2" borderId="7" xfId="3" applyNumberFormat="1" applyFont="1" applyFill="1" applyBorder="1"/>
    <xf numFmtId="165" fontId="4" fillId="2" borderId="8" xfId="3" applyNumberFormat="1" applyFont="1" applyFill="1" applyBorder="1"/>
    <xf numFmtId="0" fontId="17" fillId="0" borderId="0" xfId="0" applyFont="1"/>
    <xf numFmtId="0" fontId="10" fillId="0" borderId="0" xfId="0" applyFont="1"/>
    <xf numFmtId="0" fontId="18" fillId="0" borderId="0" xfId="0" applyFont="1"/>
    <xf numFmtId="0" fontId="20" fillId="0" borderId="0" xfId="0" applyFont="1"/>
    <xf numFmtId="2" fontId="18" fillId="0" borderId="0" xfId="0" applyNumberFormat="1" applyFont="1"/>
    <xf numFmtId="2" fontId="18" fillId="0" borderId="0" xfId="0" applyNumberFormat="1" applyFont="1" applyBorder="1"/>
    <xf numFmtId="2" fontId="18" fillId="0" borderId="1" xfId="0" applyNumberFormat="1" applyFont="1" applyBorder="1"/>
    <xf numFmtId="2" fontId="18" fillId="0" borderId="2" xfId="0" applyNumberFormat="1" applyFont="1" applyBorder="1"/>
    <xf numFmtId="2" fontId="10" fillId="0" borderId="0" xfId="0" applyNumberFormat="1" applyFont="1"/>
    <xf numFmtId="0" fontId="0" fillId="0" borderId="0" xfId="0" applyAlignment="1">
      <alignment wrapText="1"/>
    </xf>
    <xf numFmtId="0" fontId="10" fillId="0" borderId="0" xfId="1" applyFont="1"/>
    <xf numFmtId="2" fontId="11" fillId="0" borderId="15" xfId="0" applyNumberFormat="1" applyFont="1" applyBorder="1"/>
    <xf numFmtId="164" fontId="18" fillId="0" borderId="1" xfId="0" applyNumberFormat="1" applyFont="1" applyBorder="1"/>
    <xf numFmtId="0" fontId="11" fillId="0" borderId="1" xfId="1" applyFont="1" applyBorder="1"/>
    <xf numFmtId="2" fontId="20" fillId="0" borderId="0" xfId="0" applyNumberFormat="1" applyFont="1"/>
    <xf numFmtId="2" fontId="0" fillId="0" borderId="0" xfId="0" applyNumberFormat="1" applyAlignment="1">
      <alignment wrapText="1"/>
    </xf>
    <xf numFmtId="164" fontId="8" fillId="0" borderId="0" xfId="0" applyNumberFormat="1" applyFont="1"/>
    <xf numFmtId="4" fontId="4" fillId="0" borderId="0" xfId="0" applyNumberFormat="1" applyFont="1"/>
    <xf numFmtId="2" fontId="18" fillId="0" borderId="0" xfId="1" applyNumberFormat="1" applyFont="1" applyAlignment="1">
      <alignment horizontal="right"/>
    </xf>
    <xf numFmtId="2" fontId="18" fillId="0" borderId="2" xfId="1" applyNumberFormat="1" applyFont="1" applyBorder="1" applyAlignment="1">
      <alignment horizontal="right"/>
    </xf>
    <xf numFmtId="2" fontId="18" fillId="0" borderId="1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0" fontId="10" fillId="0" borderId="0" xfId="1" applyFont="1"/>
    <xf numFmtId="0" fontId="14" fillId="0" borderId="0" xfId="0" applyFont="1" applyAlignment="1">
      <alignment horizontal="center" vertical="center"/>
    </xf>
    <xf numFmtId="0" fontId="8" fillId="0" borderId="0" xfId="2" applyFont="1" applyBorder="1"/>
    <xf numFmtId="165" fontId="22" fillId="0" borderId="0" xfId="2" applyNumberFormat="1" applyBorder="1"/>
    <xf numFmtId="1" fontId="22" fillId="2" borderId="6" xfId="2" applyNumberFormat="1" applyFill="1" applyBorder="1"/>
    <xf numFmtId="0" fontId="8" fillId="0" borderId="4" xfId="2" applyFont="1" applyBorder="1"/>
    <xf numFmtId="165" fontId="22" fillId="0" borderId="4" xfId="2" applyNumberFormat="1" applyBorder="1"/>
    <xf numFmtId="0" fontId="22" fillId="0" borderId="4" xfId="2" applyBorder="1"/>
    <xf numFmtId="165" fontId="22" fillId="0" borderId="0" xfId="2" applyNumberFormat="1"/>
    <xf numFmtId="0" fontId="10" fillId="0" borderId="0" xfId="1" applyFont="1"/>
    <xf numFmtId="0" fontId="10" fillId="0" borderId="0" xfId="1" applyFont="1"/>
    <xf numFmtId="2" fontId="18" fillId="4" borderId="0" xfId="1" applyNumberFormat="1" applyFont="1" applyFill="1"/>
    <xf numFmtId="0" fontId="18" fillId="4" borderId="0" xfId="1" applyFont="1" applyFill="1"/>
    <xf numFmtId="0" fontId="14" fillId="0" borderId="0" xfId="0" applyFont="1" applyAlignment="1">
      <alignment horizontal="center" vertical="center"/>
    </xf>
    <xf numFmtId="0" fontId="26" fillId="0" borderId="0" xfId="0" applyFont="1"/>
    <xf numFmtId="0" fontId="10" fillId="0" borderId="0" xfId="1" applyFont="1"/>
    <xf numFmtId="0" fontId="19" fillId="0" borderId="0" xfId="1" applyFont="1"/>
    <xf numFmtId="0" fontId="10" fillId="0" borderId="1" xfId="1" applyFont="1" applyBorder="1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1" applyFont="1"/>
    <xf numFmtId="0" fontId="10" fillId="0" borderId="1" xfId="1" applyFont="1" applyBorder="1"/>
    <xf numFmtId="0" fontId="19" fillId="0" borderId="0" xfId="1" applyFont="1"/>
  </cellXfs>
  <cellStyles count="4">
    <cellStyle name="Normaali 2" xfId="1" xr:uid="{00000000-0005-0000-0000-000001000000}"/>
    <cellStyle name="Normaali 3" xfId="2" xr:uid="{00000000-0005-0000-0000-000002000000}"/>
    <cellStyle name="Normal" xfId="0" builtinId="0"/>
    <cellStyle name="Normal 2" xfId="3" xr:uid="{00000000-0005-0000-0000-00000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workbookViewId="0">
      <selection activeCell="D6" sqref="D6"/>
    </sheetView>
  </sheetViews>
  <sheetFormatPr defaultColWidth="11" defaultRowHeight="12.75" x14ac:dyDescent="0.2"/>
  <cols>
    <col min="2" max="2" width="27" customWidth="1"/>
    <col min="3" max="3" width="9.25" customWidth="1"/>
    <col min="4" max="4" width="8.75" customWidth="1"/>
    <col min="5" max="5" width="8.75" style="22" customWidth="1"/>
  </cols>
  <sheetData>
    <row r="1" spans="1:6" x14ac:dyDescent="0.2">
      <c r="A1" s="164" t="s">
        <v>0</v>
      </c>
      <c r="B1" s="164"/>
      <c r="C1" s="36"/>
      <c r="D1" s="37"/>
      <c r="E1" s="12"/>
      <c r="F1" s="1"/>
    </row>
    <row r="2" spans="1:6" x14ac:dyDescent="0.2">
      <c r="A2" s="2"/>
      <c r="B2" s="2"/>
      <c r="C2" s="2"/>
      <c r="D2" s="2"/>
      <c r="E2" s="4"/>
      <c r="F2" s="2"/>
    </row>
    <row r="3" spans="1:6" x14ac:dyDescent="0.2">
      <c r="A3" s="166" t="s">
        <v>1</v>
      </c>
      <c r="B3" s="166"/>
      <c r="C3" s="3" t="s">
        <v>50</v>
      </c>
      <c r="D3" s="3" t="s">
        <v>51</v>
      </c>
      <c r="E3" s="29" t="s">
        <v>41</v>
      </c>
      <c r="F3" s="3" t="s">
        <v>38</v>
      </c>
    </row>
    <row r="4" spans="1:6" x14ac:dyDescent="0.2">
      <c r="A4" s="2"/>
      <c r="B4" s="2"/>
      <c r="C4" s="2"/>
      <c r="D4" s="2"/>
      <c r="E4" s="4"/>
      <c r="F4" s="2"/>
    </row>
    <row r="5" spans="1:6" x14ac:dyDescent="0.2">
      <c r="A5" s="2"/>
      <c r="B5" s="25" t="s">
        <v>2</v>
      </c>
      <c r="C5" s="25"/>
      <c r="D5" s="25"/>
      <c r="E5" s="4"/>
      <c r="F5" s="2"/>
    </row>
    <row r="6" spans="1:6" x14ac:dyDescent="0.2">
      <c r="A6" s="5">
        <v>3010</v>
      </c>
      <c r="B6" s="2" t="s">
        <v>3</v>
      </c>
      <c r="C6" s="38">
        <v>387</v>
      </c>
      <c r="D6" s="38">
        <v>2500</v>
      </c>
      <c r="E6" s="4">
        <v>6446.66</v>
      </c>
      <c r="F6" s="4">
        <v>1148.0999999999999</v>
      </c>
    </row>
    <row r="7" spans="1:6" ht="13.5" thickBot="1" x14ac:dyDescent="0.25">
      <c r="A7" s="5">
        <v>3030</v>
      </c>
      <c r="B7" s="2" t="s">
        <v>4</v>
      </c>
      <c r="C7" s="38">
        <v>2715.4</v>
      </c>
      <c r="D7" s="38">
        <v>0</v>
      </c>
      <c r="E7" s="4">
        <v>330</v>
      </c>
      <c r="F7" s="6">
        <v>0</v>
      </c>
    </row>
    <row r="8" spans="1:6" s="19" customFormat="1" x14ac:dyDescent="0.2">
      <c r="A8" s="1"/>
      <c r="B8" s="15" t="s">
        <v>5</v>
      </c>
      <c r="C8" s="39">
        <f>SUM(C6:C7)</f>
        <v>3102.4</v>
      </c>
      <c r="D8" s="18">
        <f>SUM(D6:D7)</f>
        <v>2500</v>
      </c>
      <c r="E8" s="18">
        <f>SUM(E6:E7)</f>
        <v>6776.66</v>
      </c>
      <c r="F8" s="11">
        <f>SUM(F6:F7)</f>
        <v>1148.0999999999999</v>
      </c>
    </row>
    <row r="9" spans="1:6" x14ac:dyDescent="0.2">
      <c r="A9" s="2"/>
      <c r="B9" s="2"/>
      <c r="C9" s="38"/>
      <c r="D9" s="38"/>
      <c r="E9" s="4"/>
      <c r="F9" s="4"/>
    </row>
    <row r="10" spans="1:6" x14ac:dyDescent="0.2">
      <c r="A10" s="2"/>
      <c r="B10" s="25" t="s">
        <v>6</v>
      </c>
      <c r="C10" s="40"/>
      <c r="D10" s="40"/>
      <c r="E10" s="4"/>
      <c r="F10" s="4"/>
    </row>
    <row r="11" spans="1:6" x14ac:dyDescent="0.2">
      <c r="A11" s="5">
        <v>4010</v>
      </c>
      <c r="B11" s="2" t="s">
        <v>7</v>
      </c>
      <c r="C11" s="38">
        <v>-1961.85</v>
      </c>
      <c r="D11" s="38">
        <v>-3500</v>
      </c>
      <c r="E11" s="4">
        <v>-5321.02</v>
      </c>
      <c r="F11" s="4">
        <v>-2880.37</v>
      </c>
    </row>
    <row r="12" spans="1:6" ht="13.5" thickBot="1" x14ac:dyDescent="0.25">
      <c r="A12" s="5">
        <v>4030</v>
      </c>
      <c r="B12" s="2" t="s">
        <v>8</v>
      </c>
      <c r="C12" s="38">
        <v>-2960</v>
      </c>
      <c r="D12" s="38">
        <v>-800</v>
      </c>
      <c r="E12" s="4">
        <v>-680</v>
      </c>
      <c r="F12" s="6">
        <v>0</v>
      </c>
    </row>
    <row r="13" spans="1:6" s="19" customFormat="1" x14ac:dyDescent="0.2">
      <c r="A13" s="1"/>
      <c r="B13" s="15" t="s">
        <v>9</v>
      </c>
      <c r="C13" s="39">
        <f>SUM(C11:C12)</f>
        <v>-4921.8500000000004</v>
      </c>
      <c r="D13" s="18">
        <f>SUM(D11:D12)</f>
        <v>-4300</v>
      </c>
      <c r="E13" s="18">
        <f>SUM(E11:E12)</f>
        <v>-6001.02</v>
      </c>
      <c r="F13" s="11">
        <f>SUM(F11:F12)</f>
        <v>-2880.37</v>
      </c>
    </row>
    <row r="14" spans="1:6" x14ac:dyDescent="0.2">
      <c r="A14" s="2"/>
      <c r="B14" s="31"/>
      <c r="C14" s="41"/>
      <c r="D14" s="41"/>
      <c r="E14" s="20"/>
      <c r="F14" s="20"/>
    </row>
    <row r="15" spans="1:6" s="19" customFormat="1" x14ac:dyDescent="0.2">
      <c r="A15" s="1"/>
      <c r="B15" s="23" t="s">
        <v>10</v>
      </c>
      <c r="C15" s="24">
        <f>SUM((C13+C8))</f>
        <v>-1819.4500000000003</v>
      </c>
      <c r="D15" s="24">
        <f>SUM((D13+D8))</f>
        <v>-1800</v>
      </c>
      <c r="E15" s="24">
        <f>SUM((E13+E8))</f>
        <v>775.63999999999942</v>
      </c>
      <c r="F15" s="24">
        <f>SUM((F13+F8))</f>
        <v>-1732.27</v>
      </c>
    </row>
    <row r="16" spans="1:6" x14ac:dyDescent="0.2">
      <c r="A16" s="2"/>
      <c r="B16" s="2"/>
      <c r="C16" s="38"/>
      <c r="D16" s="38"/>
      <c r="E16" s="4"/>
      <c r="F16" s="4"/>
    </row>
    <row r="17" spans="1:6" x14ac:dyDescent="0.2">
      <c r="A17" s="166" t="s">
        <v>11</v>
      </c>
      <c r="B17" s="166"/>
      <c r="C17" s="47" t="s">
        <v>50</v>
      </c>
      <c r="D17" s="47" t="s">
        <v>51</v>
      </c>
      <c r="E17" s="29" t="s">
        <v>41</v>
      </c>
      <c r="F17" s="3" t="s">
        <v>38</v>
      </c>
    </row>
    <row r="18" spans="1:6" x14ac:dyDescent="0.2">
      <c r="A18" s="2"/>
      <c r="B18" s="2"/>
      <c r="C18" s="38"/>
      <c r="D18" s="38"/>
      <c r="E18" s="4"/>
      <c r="F18" s="4"/>
    </row>
    <row r="19" spans="1:6" x14ac:dyDescent="0.2">
      <c r="A19" s="2"/>
      <c r="B19" s="25" t="s">
        <v>2</v>
      </c>
      <c r="C19" s="40"/>
      <c r="D19" s="40"/>
      <c r="E19" s="4"/>
      <c r="F19" s="4"/>
    </row>
    <row r="20" spans="1:6" x14ac:dyDescent="0.2">
      <c r="A20" s="5">
        <v>3020</v>
      </c>
      <c r="B20" s="2" t="s">
        <v>42</v>
      </c>
      <c r="C20" s="38">
        <v>5907.05</v>
      </c>
      <c r="D20" s="38">
        <v>5800</v>
      </c>
      <c r="E20" s="4">
        <v>6660.89</v>
      </c>
      <c r="F20" s="4">
        <v>5857.97</v>
      </c>
    </row>
    <row r="21" spans="1:6" x14ac:dyDescent="0.2">
      <c r="A21" s="5">
        <v>3050</v>
      </c>
      <c r="B21" s="2" t="s">
        <v>12</v>
      </c>
      <c r="C21" s="38">
        <v>5955.86</v>
      </c>
      <c r="D21" s="38">
        <v>5000</v>
      </c>
      <c r="E21" s="4">
        <v>6250</v>
      </c>
      <c r="F21" s="4">
        <v>4230</v>
      </c>
    </row>
    <row r="22" spans="1:6" ht="13.5" thickBot="1" x14ac:dyDescent="0.25">
      <c r="A22" s="5">
        <v>3060</v>
      </c>
      <c r="B22" s="2" t="s">
        <v>13</v>
      </c>
      <c r="C22" s="38">
        <v>157.6</v>
      </c>
      <c r="D22" s="38">
        <v>300</v>
      </c>
      <c r="E22" s="4">
        <v>273.7</v>
      </c>
      <c r="F22" s="6">
        <v>470.01</v>
      </c>
    </row>
    <row r="23" spans="1:6" s="19" customFormat="1" x14ac:dyDescent="0.2">
      <c r="A23" s="1"/>
      <c r="B23" s="15" t="s">
        <v>5</v>
      </c>
      <c r="C23" s="18">
        <f>SUM(C20:C22)</f>
        <v>12020.51</v>
      </c>
      <c r="D23" s="18">
        <f>SUM(D20:D22)</f>
        <v>11100</v>
      </c>
      <c r="E23" s="18">
        <f>SUM(E20:E22)</f>
        <v>13184.59</v>
      </c>
      <c r="F23" s="11">
        <f>SUM(F20:F22)</f>
        <v>10557.980000000001</v>
      </c>
    </row>
    <row r="24" spans="1:6" x14ac:dyDescent="0.2">
      <c r="A24" s="2"/>
      <c r="B24" s="2"/>
      <c r="C24" s="38"/>
      <c r="D24" s="38"/>
      <c r="E24" s="4"/>
      <c r="F24" s="4"/>
    </row>
    <row r="25" spans="1:6" x14ac:dyDescent="0.2">
      <c r="A25" s="2"/>
      <c r="B25" s="25" t="s">
        <v>6</v>
      </c>
      <c r="C25" s="40"/>
      <c r="D25" s="40"/>
      <c r="E25" s="4"/>
      <c r="F25" s="4"/>
    </row>
    <row r="26" spans="1:6" x14ac:dyDescent="0.2">
      <c r="A26" s="5">
        <v>4020</v>
      </c>
      <c r="B26" s="2" t="s">
        <v>43</v>
      </c>
      <c r="C26" s="38">
        <v>-7349.6</v>
      </c>
      <c r="D26" s="38">
        <v>-6800</v>
      </c>
      <c r="E26" s="4">
        <v>-7432.48</v>
      </c>
      <c r="F26" s="4">
        <v>-7445.29</v>
      </c>
    </row>
    <row r="27" spans="1:6" x14ac:dyDescent="0.2">
      <c r="A27" s="5">
        <v>4060</v>
      </c>
      <c r="B27" s="2" t="s">
        <v>14</v>
      </c>
      <c r="C27" s="38">
        <v>-547.20000000000005</v>
      </c>
      <c r="D27" s="38">
        <v>-400</v>
      </c>
      <c r="E27" s="4">
        <v>-164.08</v>
      </c>
      <c r="F27" s="20">
        <v>-50.65</v>
      </c>
    </row>
    <row r="28" spans="1:6" ht="13.5" thickBot="1" x14ac:dyDescent="0.25">
      <c r="A28" s="5">
        <v>4400</v>
      </c>
      <c r="B28" s="2" t="s">
        <v>35</v>
      </c>
      <c r="C28" s="38">
        <v>378.51</v>
      </c>
      <c r="D28" s="38">
        <v>0</v>
      </c>
      <c r="E28" s="4">
        <v>-223.04</v>
      </c>
      <c r="F28" s="6">
        <v>699.29</v>
      </c>
    </row>
    <row r="29" spans="1:6" s="19" customFormat="1" x14ac:dyDescent="0.2">
      <c r="A29" s="1"/>
      <c r="B29" s="15" t="s">
        <v>9</v>
      </c>
      <c r="C29" s="18">
        <f>SUM(C26:C28)</f>
        <v>-7518.29</v>
      </c>
      <c r="D29" s="18">
        <f>SUM(D26:D28)</f>
        <v>-7200</v>
      </c>
      <c r="E29" s="18">
        <f>SUM(E26:E28)</f>
        <v>-7819.5999999999995</v>
      </c>
      <c r="F29" s="18">
        <f t="shared" ref="F29" si="0">SUM(F26:F28)</f>
        <v>-6796.65</v>
      </c>
    </row>
    <row r="30" spans="1:6" s="19" customFormat="1" x14ac:dyDescent="0.2">
      <c r="A30" s="14"/>
      <c r="B30" s="23"/>
      <c r="C30" s="42"/>
      <c r="D30" s="42"/>
      <c r="E30" s="24"/>
      <c r="F30" s="24"/>
    </row>
    <row r="31" spans="1:6" s="19" customFormat="1" x14ac:dyDescent="0.2">
      <c r="A31" s="14"/>
      <c r="B31" s="23" t="s">
        <v>10</v>
      </c>
      <c r="C31" s="24">
        <f>SUM(C23+C29)</f>
        <v>4502.22</v>
      </c>
      <c r="D31" s="24">
        <f>SUM(D23+D29)</f>
        <v>3900</v>
      </c>
      <c r="E31" s="24">
        <f>SUM(E23+E29)</f>
        <v>5364.9900000000007</v>
      </c>
      <c r="F31" s="24">
        <f t="shared" ref="F31" si="1">SUM(F23+F29)</f>
        <v>3761.3300000000017</v>
      </c>
    </row>
    <row r="32" spans="1:6" x14ac:dyDescent="0.2">
      <c r="A32" s="2"/>
      <c r="B32" s="2"/>
      <c r="C32" s="38"/>
      <c r="D32" s="38"/>
      <c r="E32" s="4"/>
      <c r="F32" s="4"/>
    </row>
    <row r="33" spans="1:6" x14ac:dyDescent="0.2">
      <c r="A33" s="166" t="s">
        <v>15</v>
      </c>
      <c r="B33" s="166"/>
      <c r="C33" s="47" t="s">
        <v>50</v>
      </c>
      <c r="D33" s="47" t="s">
        <v>51</v>
      </c>
      <c r="E33" s="21" t="s">
        <v>41</v>
      </c>
      <c r="F33" s="3" t="s">
        <v>38</v>
      </c>
    </row>
    <row r="34" spans="1:6" x14ac:dyDescent="0.2">
      <c r="A34" s="2"/>
      <c r="B34" s="2"/>
      <c r="C34" s="38"/>
      <c r="D34" s="38"/>
      <c r="E34" s="4"/>
      <c r="F34" s="4"/>
    </row>
    <row r="35" spans="1:6" x14ac:dyDescent="0.2">
      <c r="A35" s="2"/>
      <c r="B35" s="14" t="s">
        <v>2</v>
      </c>
      <c r="C35" s="43"/>
      <c r="D35" s="43"/>
      <c r="E35" s="4"/>
      <c r="F35" s="4"/>
    </row>
    <row r="36" spans="1:6" x14ac:dyDescent="0.2">
      <c r="A36" s="5">
        <v>3040</v>
      </c>
      <c r="B36" s="2" t="s">
        <v>16</v>
      </c>
      <c r="C36" s="38">
        <v>0</v>
      </c>
      <c r="D36" s="38">
        <v>0</v>
      </c>
      <c r="E36" s="4">
        <v>0</v>
      </c>
      <c r="F36" s="4">
        <v>0</v>
      </c>
    </row>
    <row r="37" spans="1:6" x14ac:dyDescent="0.2">
      <c r="A37" s="5">
        <v>3090</v>
      </c>
      <c r="B37" s="2" t="s">
        <v>17</v>
      </c>
      <c r="C37" s="38">
        <v>0</v>
      </c>
      <c r="D37" s="38">
        <v>0</v>
      </c>
      <c r="E37" s="4">
        <v>0</v>
      </c>
      <c r="F37" s="20">
        <v>0</v>
      </c>
    </row>
    <row r="38" spans="1:6" ht="13.5" thickBot="1" x14ac:dyDescent="0.25">
      <c r="A38" s="5">
        <v>3100</v>
      </c>
      <c r="B38" s="2" t="s">
        <v>44</v>
      </c>
      <c r="C38" s="38">
        <v>170</v>
      </c>
      <c r="D38" s="38">
        <v>130</v>
      </c>
      <c r="E38" s="4">
        <v>150</v>
      </c>
      <c r="F38" s="6"/>
    </row>
    <row r="39" spans="1:6" s="19" customFormat="1" x14ac:dyDescent="0.2">
      <c r="A39" s="14"/>
      <c r="B39" s="15" t="s">
        <v>5</v>
      </c>
      <c r="C39" s="18">
        <f t="shared" ref="C39:D39" si="2">SUM(C36:C38)</f>
        <v>170</v>
      </c>
      <c r="D39" s="18">
        <f t="shared" si="2"/>
        <v>130</v>
      </c>
      <c r="E39" s="18">
        <f>SUM(E36:E38)</f>
        <v>150</v>
      </c>
      <c r="F39" s="11">
        <f>SUM(F36:F37)</f>
        <v>0</v>
      </c>
    </row>
    <row r="40" spans="1:6" x14ac:dyDescent="0.2">
      <c r="A40" s="2"/>
      <c r="B40" s="2"/>
      <c r="C40" s="38"/>
      <c r="D40" s="38"/>
      <c r="E40" s="4"/>
      <c r="F40" s="4"/>
    </row>
    <row r="41" spans="1:6" x14ac:dyDescent="0.2">
      <c r="A41" s="2"/>
      <c r="B41" s="14" t="s">
        <v>6</v>
      </c>
      <c r="C41" s="43"/>
      <c r="D41" s="43"/>
      <c r="E41" s="4"/>
      <c r="F41" s="4"/>
    </row>
    <row r="42" spans="1:6" x14ac:dyDescent="0.2">
      <c r="A42" s="5">
        <v>4040</v>
      </c>
      <c r="B42" s="2" t="s">
        <v>18</v>
      </c>
      <c r="C42" s="38">
        <v>-63.21</v>
      </c>
      <c r="D42" s="38">
        <v>-80</v>
      </c>
      <c r="E42" s="4">
        <v>-82.02</v>
      </c>
      <c r="F42" s="4">
        <v>-43.22</v>
      </c>
    </row>
    <row r="43" spans="1:6" x14ac:dyDescent="0.2">
      <c r="A43" s="5">
        <v>4050</v>
      </c>
      <c r="B43" s="2" t="s">
        <v>19</v>
      </c>
      <c r="C43" s="38">
        <v>0</v>
      </c>
      <c r="D43" s="38">
        <v>0</v>
      </c>
      <c r="E43" s="4">
        <v>0</v>
      </c>
      <c r="F43" s="4">
        <v>-5560.7</v>
      </c>
    </row>
    <row r="44" spans="1:6" x14ac:dyDescent="0.2">
      <c r="A44" s="5">
        <v>4070</v>
      </c>
      <c r="B44" s="2" t="s">
        <v>20</v>
      </c>
      <c r="C44" s="38">
        <v>-617.05999999999995</v>
      </c>
      <c r="D44" s="38">
        <v>-800</v>
      </c>
      <c r="E44" s="4">
        <v>-940.2</v>
      </c>
      <c r="F44" s="4">
        <v>-624.46</v>
      </c>
    </row>
    <row r="45" spans="1:6" x14ac:dyDescent="0.2">
      <c r="A45" s="5">
        <v>4080</v>
      </c>
      <c r="B45" s="2" t="s">
        <v>40</v>
      </c>
      <c r="C45" s="38">
        <v>-705.6</v>
      </c>
      <c r="D45" s="38">
        <v>-600</v>
      </c>
      <c r="E45" s="4">
        <v>-551.12</v>
      </c>
      <c r="F45" s="4">
        <v>-618.16</v>
      </c>
    </row>
    <row r="46" spans="1:6" x14ac:dyDescent="0.2">
      <c r="A46" s="5">
        <v>4090</v>
      </c>
      <c r="B46" s="2" t="s">
        <v>21</v>
      </c>
      <c r="C46" s="38">
        <v>-594.13</v>
      </c>
      <c r="D46" s="38">
        <v>-400</v>
      </c>
      <c r="E46" s="4">
        <v>-1933.44</v>
      </c>
      <c r="F46" s="20">
        <v>-162.01</v>
      </c>
    </row>
    <row r="47" spans="1:6" x14ac:dyDescent="0.2">
      <c r="A47" s="5">
        <v>4100</v>
      </c>
      <c r="B47" s="2" t="s">
        <v>45</v>
      </c>
      <c r="C47" s="38">
        <v>-267.18</v>
      </c>
      <c r="D47" s="38">
        <v>-280</v>
      </c>
      <c r="E47" s="4">
        <v>-266.57</v>
      </c>
      <c r="F47" s="20"/>
    </row>
    <row r="48" spans="1:6" ht="13.5" thickBot="1" x14ac:dyDescent="0.25">
      <c r="A48" s="5">
        <v>4500</v>
      </c>
      <c r="B48" s="2" t="s">
        <v>31</v>
      </c>
      <c r="C48" s="38">
        <v>-1823.3</v>
      </c>
      <c r="D48" s="38">
        <v>0</v>
      </c>
      <c r="E48" s="4">
        <v>-2443.61</v>
      </c>
      <c r="F48" s="4">
        <v>-1780.8</v>
      </c>
    </row>
    <row r="49" spans="1:6" s="19" customFormat="1" x14ac:dyDescent="0.2">
      <c r="A49" s="14"/>
      <c r="B49" s="15" t="s">
        <v>9</v>
      </c>
      <c r="C49" s="18">
        <f t="shared" ref="C49:F49" si="3">SUM(C42:C48)</f>
        <v>-4070.4799999999996</v>
      </c>
      <c r="D49" s="18">
        <f t="shared" si="3"/>
        <v>-2160</v>
      </c>
      <c r="E49" s="18">
        <f t="shared" si="3"/>
        <v>-6216.9600000000009</v>
      </c>
      <c r="F49" s="11">
        <f t="shared" si="3"/>
        <v>-8789.35</v>
      </c>
    </row>
    <row r="50" spans="1:6" ht="13.5" thickBot="1" x14ac:dyDescent="0.25">
      <c r="A50" s="2"/>
      <c r="B50" s="7"/>
      <c r="C50" s="44"/>
      <c r="D50" s="44"/>
      <c r="E50" s="6"/>
      <c r="F50" s="6"/>
    </row>
    <row r="51" spans="1:6" s="19" customFormat="1" x14ac:dyDescent="0.2">
      <c r="A51" s="14"/>
      <c r="B51" s="15" t="s">
        <v>10</v>
      </c>
      <c r="C51" s="18">
        <f t="shared" ref="C51:D51" si="4">SUM((C49+C39))</f>
        <v>-3900.4799999999996</v>
      </c>
      <c r="D51" s="18">
        <f t="shared" si="4"/>
        <v>-2030</v>
      </c>
      <c r="E51" s="18">
        <f>SUM((E49+E39))</f>
        <v>-6066.9600000000009</v>
      </c>
      <c r="F51" s="11">
        <f>SUM((F49+F39))</f>
        <v>-8789.35</v>
      </c>
    </row>
    <row r="52" spans="1:6" x14ac:dyDescent="0.2">
      <c r="A52" s="2"/>
      <c r="B52" s="2"/>
      <c r="C52" s="38"/>
      <c r="D52" s="38"/>
      <c r="E52" s="4"/>
      <c r="F52" s="20"/>
    </row>
    <row r="53" spans="1:6" x14ac:dyDescent="0.2">
      <c r="A53" s="2"/>
      <c r="B53" s="32" t="s">
        <v>22</v>
      </c>
      <c r="C53" s="33">
        <f t="shared" ref="C53:D53" si="5">SUM(C15+C31+C51)</f>
        <v>-1217.7099999999996</v>
      </c>
      <c r="D53" s="33">
        <f t="shared" si="5"/>
        <v>70</v>
      </c>
      <c r="E53" s="33">
        <f>SUM(E15+E31+E51)</f>
        <v>73.669999999999163</v>
      </c>
      <c r="F53" s="33">
        <f t="shared" ref="F53" si="6">SUM(F15+F31+F51)</f>
        <v>-6760.2899999999991</v>
      </c>
    </row>
    <row r="54" spans="1:6" x14ac:dyDescent="0.2">
      <c r="A54" s="2"/>
      <c r="B54" s="2"/>
      <c r="C54" s="38"/>
      <c r="D54" s="38"/>
      <c r="E54" s="4"/>
      <c r="F54" s="4"/>
    </row>
    <row r="55" spans="1:6" x14ac:dyDescent="0.2">
      <c r="A55" s="164" t="s">
        <v>23</v>
      </c>
      <c r="B55" s="164"/>
      <c r="C55" s="38" t="s">
        <v>50</v>
      </c>
      <c r="D55" s="38" t="s">
        <v>51</v>
      </c>
      <c r="E55" s="30" t="s">
        <v>41</v>
      </c>
      <c r="F55" s="4" t="s">
        <v>39</v>
      </c>
    </row>
    <row r="56" spans="1:6" x14ac:dyDescent="0.2">
      <c r="A56" s="2"/>
      <c r="B56" s="2"/>
      <c r="C56" s="38"/>
      <c r="D56" s="38"/>
      <c r="E56" s="4"/>
      <c r="F56" s="4"/>
    </row>
    <row r="57" spans="1:6" x14ac:dyDescent="0.2">
      <c r="A57" s="2"/>
      <c r="B57" s="14" t="s">
        <v>2</v>
      </c>
      <c r="C57" s="43"/>
      <c r="D57" s="43"/>
      <c r="E57" s="4"/>
      <c r="F57" s="4"/>
    </row>
    <row r="58" spans="1:6" x14ac:dyDescent="0.2">
      <c r="A58" s="5">
        <v>5000</v>
      </c>
      <c r="B58" s="2" t="s">
        <v>24</v>
      </c>
      <c r="C58" s="38">
        <v>332</v>
      </c>
      <c r="D58" s="38">
        <v>300</v>
      </c>
      <c r="E58" s="4">
        <v>312</v>
      </c>
      <c r="F58" s="4">
        <v>272</v>
      </c>
    </row>
    <row r="59" spans="1:6" x14ac:dyDescent="0.2">
      <c r="A59" s="5">
        <v>5200</v>
      </c>
      <c r="B59" s="2" t="s">
        <v>25</v>
      </c>
      <c r="C59" s="38">
        <v>3068.4</v>
      </c>
      <c r="D59" s="38">
        <v>2000</v>
      </c>
      <c r="E59" s="4">
        <v>1828</v>
      </c>
      <c r="F59" s="4">
        <v>4556</v>
      </c>
    </row>
    <row r="60" spans="1:6" ht="13.5" thickBot="1" x14ac:dyDescent="0.25">
      <c r="A60" s="5">
        <v>8000</v>
      </c>
      <c r="B60" s="2" t="s">
        <v>26</v>
      </c>
      <c r="C60" s="38">
        <v>0</v>
      </c>
      <c r="D60" s="38">
        <v>0</v>
      </c>
      <c r="E60" s="4">
        <v>0</v>
      </c>
      <c r="F60" s="6">
        <v>0</v>
      </c>
    </row>
    <row r="61" spans="1:6" s="19" customFormat="1" x14ac:dyDescent="0.2">
      <c r="A61" s="14"/>
      <c r="B61" s="15" t="s">
        <v>5</v>
      </c>
      <c r="C61" s="18">
        <f t="shared" ref="C61:D61" si="7">SUM(C58:C60)</f>
        <v>3400.4</v>
      </c>
      <c r="D61" s="18">
        <f t="shared" si="7"/>
        <v>2300</v>
      </c>
      <c r="E61" s="18">
        <f>SUM(E58:E60)</f>
        <v>2140</v>
      </c>
      <c r="F61" s="11">
        <f>SUM(F58:F60)</f>
        <v>4828</v>
      </c>
    </row>
    <row r="62" spans="1:6" x14ac:dyDescent="0.2">
      <c r="A62" s="2"/>
      <c r="B62" s="8"/>
      <c r="C62" s="45"/>
      <c r="D62" s="45"/>
      <c r="E62" s="10"/>
      <c r="F62" s="10"/>
    </row>
    <row r="63" spans="1:6" x14ac:dyDescent="0.2">
      <c r="A63" s="2"/>
      <c r="B63" s="14" t="s">
        <v>6</v>
      </c>
      <c r="C63" s="43"/>
      <c r="D63" s="43"/>
      <c r="E63" s="4"/>
      <c r="F63" s="4"/>
    </row>
    <row r="64" spans="1:6" ht="13.5" thickBot="1" x14ac:dyDescent="0.25">
      <c r="A64" s="5">
        <v>5210</v>
      </c>
      <c r="B64" s="2" t="s">
        <v>27</v>
      </c>
      <c r="C64" s="38">
        <v>-1239.53</v>
      </c>
      <c r="D64" s="38">
        <v>0</v>
      </c>
      <c r="E64" s="4">
        <v>-55.97</v>
      </c>
      <c r="F64" s="6">
        <v>-26.4</v>
      </c>
    </row>
    <row r="65" spans="1:6" s="19" customFormat="1" x14ac:dyDescent="0.2">
      <c r="A65" s="14"/>
      <c r="B65" s="15" t="s">
        <v>9</v>
      </c>
      <c r="C65" s="18">
        <f t="shared" ref="C65:D65" si="8">SUM(C64)</f>
        <v>-1239.53</v>
      </c>
      <c r="D65" s="18">
        <f t="shared" si="8"/>
        <v>0</v>
      </c>
      <c r="E65" s="18">
        <f>SUM(E64)</f>
        <v>-55.97</v>
      </c>
      <c r="F65" s="11">
        <f>SUM(F64)</f>
        <v>-26.4</v>
      </c>
    </row>
    <row r="66" spans="1:6" x14ac:dyDescent="0.2">
      <c r="A66" s="2"/>
      <c r="B66" s="2"/>
      <c r="C66" s="38"/>
      <c r="D66" s="38"/>
      <c r="E66" s="4"/>
      <c r="F66" s="4"/>
    </row>
    <row r="67" spans="1:6" x14ac:dyDescent="0.2">
      <c r="A67" s="2"/>
      <c r="B67" s="8" t="s">
        <v>28</v>
      </c>
      <c r="C67" s="17">
        <f t="shared" ref="C67:D67" si="9">C61+C65</f>
        <v>2160.87</v>
      </c>
      <c r="D67" s="17">
        <f t="shared" si="9"/>
        <v>2300</v>
      </c>
      <c r="E67" s="17">
        <f>E61+E65</f>
        <v>2084.0300000000002</v>
      </c>
      <c r="F67" s="10">
        <f>F61+F65</f>
        <v>4801.6000000000004</v>
      </c>
    </row>
    <row r="68" spans="1:6" x14ac:dyDescent="0.2">
      <c r="A68" s="2"/>
      <c r="B68" s="2"/>
      <c r="C68" s="38"/>
      <c r="D68" s="38"/>
      <c r="E68" s="4"/>
      <c r="F68" s="20"/>
    </row>
    <row r="69" spans="1:6" x14ac:dyDescent="0.2">
      <c r="B69" s="26" t="s">
        <v>29</v>
      </c>
      <c r="C69" s="24">
        <f t="shared" ref="C69:D69" si="10">SUM((C53+C67))</f>
        <v>943.16000000000031</v>
      </c>
      <c r="D69" s="24">
        <f t="shared" si="10"/>
        <v>2370</v>
      </c>
      <c r="E69" s="24">
        <f>SUM((E53+E67))</f>
        <v>2157.6999999999994</v>
      </c>
      <c r="F69" s="34">
        <f>SUM((F53+F67))</f>
        <v>-1958.6899999999987</v>
      </c>
    </row>
    <row r="70" spans="1:6" x14ac:dyDescent="0.2">
      <c r="A70" s="2"/>
      <c r="B70" s="2"/>
      <c r="C70" s="38"/>
      <c r="D70" s="38"/>
      <c r="E70" s="4"/>
      <c r="F70" s="4"/>
    </row>
    <row r="71" spans="1:6" x14ac:dyDescent="0.2">
      <c r="A71" s="164" t="s">
        <v>47</v>
      </c>
      <c r="B71" s="164"/>
      <c r="C71" s="38" t="s">
        <v>50</v>
      </c>
      <c r="D71" s="38" t="s">
        <v>51</v>
      </c>
      <c r="E71" s="30" t="s">
        <v>41</v>
      </c>
      <c r="F71" s="3" t="s">
        <v>38</v>
      </c>
    </row>
    <row r="72" spans="1:6" x14ac:dyDescent="0.2">
      <c r="A72" s="2"/>
      <c r="C72" s="46"/>
      <c r="D72" s="46"/>
      <c r="F72" s="4"/>
    </row>
    <row r="73" spans="1:6" x14ac:dyDescent="0.2">
      <c r="A73" s="2"/>
      <c r="B73" s="14" t="s">
        <v>2</v>
      </c>
      <c r="C73" s="43"/>
      <c r="D73" s="43"/>
      <c r="E73" s="4"/>
      <c r="F73" s="4"/>
    </row>
    <row r="74" spans="1:6" ht="13.5" thickBot="1" x14ac:dyDescent="0.25">
      <c r="A74" s="5">
        <v>6100</v>
      </c>
      <c r="B74" s="2" t="s">
        <v>30</v>
      </c>
      <c r="C74" s="38">
        <v>1.45</v>
      </c>
      <c r="D74" s="38">
        <v>0</v>
      </c>
      <c r="E74" s="4">
        <v>1.86</v>
      </c>
      <c r="F74" s="6">
        <v>3.01</v>
      </c>
    </row>
    <row r="75" spans="1:6" s="19" customFormat="1" x14ac:dyDescent="0.2">
      <c r="A75" s="14"/>
      <c r="B75" s="14" t="s">
        <v>5</v>
      </c>
      <c r="C75" s="18">
        <f t="shared" ref="C75:D75" si="11">SUM(C74)</f>
        <v>1.45</v>
      </c>
      <c r="D75" s="18">
        <f t="shared" si="11"/>
        <v>0</v>
      </c>
      <c r="E75" s="18">
        <f>SUM(E74)</f>
        <v>1.86</v>
      </c>
      <c r="F75" s="11">
        <f>SUM(F74)</f>
        <v>3.01</v>
      </c>
    </row>
    <row r="76" spans="1:6" x14ac:dyDescent="0.2">
      <c r="A76" s="2"/>
      <c r="B76" s="2"/>
      <c r="C76" s="38"/>
      <c r="D76" s="38"/>
      <c r="E76" s="4"/>
      <c r="F76" s="4"/>
    </row>
    <row r="77" spans="1:6" x14ac:dyDescent="0.2">
      <c r="A77" s="1"/>
      <c r="B77" s="1" t="s">
        <v>6</v>
      </c>
      <c r="C77" s="43"/>
      <c r="D77" s="43"/>
      <c r="E77" s="12"/>
      <c r="F77" s="12"/>
    </row>
    <row r="78" spans="1:6" ht="13.5" thickBot="1" x14ac:dyDescent="0.25">
      <c r="A78" s="5">
        <v>6200</v>
      </c>
      <c r="B78" s="2" t="s">
        <v>32</v>
      </c>
      <c r="C78" s="38">
        <v>-2.5</v>
      </c>
      <c r="D78" s="38">
        <v>0</v>
      </c>
      <c r="E78" s="4">
        <v>-25.85</v>
      </c>
      <c r="F78" s="6">
        <v>0</v>
      </c>
    </row>
    <row r="79" spans="1:6" x14ac:dyDescent="0.2">
      <c r="A79" s="1"/>
      <c r="B79" s="1" t="s">
        <v>9</v>
      </c>
      <c r="C79" s="18">
        <f t="shared" ref="C79:D79" si="12">SUM(C78)</f>
        <v>-2.5</v>
      </c>
      <c r="D79" s="18">
        <f t="shared" si="12"/>
        <v>0</v>
      </c>
      <c r="E79" s="18">
        <f>SUM(E78)</f>
        <v>-25.85</v>
      </c>
      <c r="F79" s="18">
        <f t="shared" ref="F79" si="13">SUM(F78)</f>
        <v>0</v>
      </c>
    </row>
    <row r="80" spans="1:6" ht="13.5" thickBot="1" x14ac:dyDescent="0.25">
      <c r="A80" s="2"/>
      <c r="B80" s="2"/>
      <c r="C80" s="38"/>
      <c r="D80" s="38"/>
      <c r="E80" s="4"/>
      <c r="F80" s="6"/>
    </row>
    <row r="81" spans="1:6" x14ac:dyDescent="0.2">
      <c r="A81" s="2"/>
      <c r="B81" s="8" t="s">
        <v>48</v>
      </c>
      <c r="C81" s="16">
        <f t="shared" ref="C81:F81" si="14">SUM((C79+C75))</f>
        <v>-1.05</v>
      </c>
      <c r="D81" s="16">
        <f t="shared" si="14"/>
        <v>0</v>
      </c>
      <c r="E81" s="16">
        <f t="shared" si="14"/>
        <v>-23.990000000000002</v>
      </c>
      <c r="F81" s="9">
        <f t="shared" si="14"/>
        <v>3.01</v>
      </c>
    </row>
    <row r="82" spans="1:6" x14ac:dyDescent="0.2">
      <c r="A82" s="2"/>
      <c r="B82" s="2"/>
      <c r="C82" s="38"/>
      <c r="D82" s="38"/>
      <c r="E82" s="4"/>
      <c r="F82" s="20"/>
    </row>
    <row r="83" spans="1:6" x14ac:dyDescent="0.2">
      <c r="B83" s="26" t="s">
        <v>29</v>
      </c>
      <c r="C83" s="24">
        <f t="shared" ref="C83:D83" si="15">C69+C81</f>
        <v>942.11000000000035</v>
      </c>
      <c r="D83" s="24">
        <f t="shared" si="15"/>
        <v>2370</v>
      </c>
      <c r="E83" s="24">
        <f>E69+E81</f>
        <v>2133.7099999999996</v>
      </c>
      <c r="F83" s="34">
        <f>F69+F81</f>
        <v>-1955.6799999999987</v>
      </c>
    </row>
    <row r="84" spans="1:6" x14ac:dyDescent="0.2">
      <c r="A84" s="2"/>
      <c r="B84" s="2"/>
      <c r="C84" s="38"/>
      <c r="D84" s="38"/>
      <c r="E84" s="4"/>
      <c r="F84" s="4"/>
    </row>
    <row r="85" spans="1:6" x14ac:dyDescent="0.2">
      <c r="A85" s="164" t="s">
        <v>46</v>
      </c>
      <c r="B85" s="164"/>
      <c r="C85" s="38" t="s">
        <v>50</v>
      </c>
      <c r="D85" s="38" t="s">
        <v>51</v>
      </c>
      <c r="E85" s="30" t="s">
        <v>41</v>
      </c>
      <c r="F85" s="4" t="s">
        <v>39</v>
      </c>
    </row>
    <row r="86" spans="1:6" x14ac:dyDescent="0.2">
      <c r="A86" s="2"/>
      <c r="B86" s="2"/>
      <c r="C86" s="38"/>
      <c r="D86" s="38"/>
      <c r="E86" s="4"/>
      <c r="F86" s="4"/>
    </row>
    <row r="87" spans="1:6" x14ac:dyDescent="0.2">
      <c r="A87" s="2"/>
      <c r="B87" s="2" t="s">
        <v>2</v>
      </c>
      <c r="C87" s="38"/>
      <c r="D87" s="38"/>
      <c r="E87" s="4"/>
      <c r="F87" s="4"/>
    </row>
    <row r="88" spans="1:6" ht="13.5" thickBot="1" x14ac:dyDescent="0.25">
      <c r="A88" s="5">
        <v>7000</v>
      </c>
      <c r="B88" s="2" t="s">
        <v>33</v>
      </c>
      <c r="C88" s="38">
        <v>95</v>
      </c>
      <c r="D88" s="38">
        <v>0</v>
      </c>
      <c r="E88" s="4">
        <v>55.5</v>
      </c>
      <c r="F88" s="4">
        <v>200</v>
      </c>
    </row>
    <row r="89" spans="1:6" x14ac:dyDescent="0.2">
      <c r="A89" s="5"/>
      <c r="B89" s="15" t="s">
        <v>5</v>
      </c>
      <c r="C89" s="11">
        <f t="shared" ref="C89:D89" si="16">C88</f>
        <v>95</v>
      </c>
      <c r="D89" s="11">
        <f t="shared" si="16"/>
        <v>0</v>
      </c>
      <c r="E89" s="11">
        <f>E88</f>
        <v>55.5</v>
      </c>
      <c r="F89" s="11">
        <f t="shared" ref="F89" si="17">F88</f>
        <v>200</v>
      </c>
    </row>
    <row r="90" spans="1:6" x14ac:dyDescent="0.2">
      <c r="A90" s="5"/>
      <c r="B90" s="2"/>
      <c r="C90" s="38"/>
      <c r="D90" s="38"/>
      <c r="E90" s="4"/>
      <c r="F90" s="4"/>
    </row>
    <row r="91" spans="1:6" x14ac:dyDescent="0.2">
      <c r="A91" s="5"/>
      <c r="B91" s="2" t="s">
        <v>6</v>
      </c>
      <c r="C91" s="38"/>
      <c r="D91" s="38"/>
      <c r="E91" s="4"/>
      <c r="F91" s="4"/>
    </row>
    <row r="92" spans="1:6" x14ac:dyDescent="0.2">
      <c r="A92" s="5">
        <v>7100</v>
      </c>
      <c r="B92" s="2" t="s">
        <v>34</v>
      </c>
      <c r="C92" s="38">
        <v>-110.2</v>
      </c>
      <c r="D92" s="38">
        <v>0</v>
      </c>
      <c r="E92" s="4">
        <v>-15.98</v>
      </c>
      <c r="F92" s="20">
        <v>0</v>
      </c>
    </row>
    <row r="93" spans="1:6" ht="13.5" thickBot="1" x14ac:dyDescent="0.25">
      <c r="A93" s="5">
        <v>7200</v>
      </c>
      <c r="B93" s="2" t="s">
        <v>36</v>
      </c>
      <c r="C93" s="38">
        <v>-101</v>
      </c>
      <c r="D93" s="38">
        <v>0</v>
      </c>
      <c r="E93" s="4">
        <v>-626.07000000000005</v>
      </c>
      <c r="F93" s="6">
        <v>-170.68</v>
      </c>
    </row>
    <row r="94" spans="1:6" x14ac:dyDescent="0.2">
      <c r="A94" s="2"/>
      <c r="B94" s="14" t="s">
        <v>9</v>
      </c>
      <c r="C94" s="16">
        <f t="shared" ref="C94:D94" si="18">SUM(C92:C93)</f>
        <v>-211.2</v>
      </c>
      <c r="D94" s="16">
        <f t="shared" si="18"/>
        <v>0</v>
      </c>
      <c r="E94" s="16">
        <f>SUM(E92:E93)</f>
        <v>-642.05000000000007</v>
      </c>
      <c r="F94" s="16">
        <f t="shared" ref="F94" si="19">SUM(F92:F93)</f>
        <v>-170.68</v>
      </c>
    </row>
    <row r="95" spans="1:6" ht="13.5" thickBot="1" x14ac:dyDescent="0.25">
      <c r="A95" s="2"/>
      <c r="B95" s="2"/>
      <c r="C95" s="38"/>
      <c r="D95" s="38"/>
      <c r="E95" s="4"/>
      <c r="F95" s="6"/>
    </row>
    <row r="96" spans="1:6" x14ac:dyDescent="0.2">
      <c r="A96" s="26"/>
      <c r="B96" s="26" t="s">
        <v>49</v>
      </c>
      <c r="C96" s="18">
        <f t="shared" ref="C96:D96" si="20">C89+C94</f>
        <v>-116.19999999999999</v>
      </c>
      <c r="D96" s="18">
        <f t="shared" si="20"/>
        <v>0</v>
      </c>
      <c r="E96" s="18">
        <f>E89+E94</f>
        <v>-586.55000000000007</v>
      </c>
      <c r="F96" s="18">
        <f t="shared" ref="F96" si="21">F89+F94</f>
        <v>29.319999999999993</v>
      </c>
    </row>
    <row r="97" spans="1:6" x14ac:dyDescent="0.2">
      <c r="A97" s="2"/>
      <c r="B97" s="2"/>
      <c r="C97" s="38"/>
      <c r="D97" s="38"/>
      <c r="E97" s="4"/>
      <c r="F97" s="4"/>
    </row>
    <row r="98" spans="1:6" s="28" customFormat="1" x14ac:dyDescent="0.2">
      <c r="B98" s="27" t="s">
        <v>29</v>
      </c>
      <c r="C98" s="35">
        <f t="shared" ref="C98:D98" si="22">SUM(C83+C96)</f>
        <v>825.91000000000031</v>
      </c>
      <c r="D98" s="35">
        <f t="shared" si="22"/>
        <v>2370</v>
      </c>
      <c r="E98" s="35">
        <f>SUM(E83+E96)</f>
        <v>1547.1599999999994</v>
      </c>
      <c r="F98" s="35">
        <f t="shared" ref="F98" si="23">SUM(F83+F96)</f>
        <v>-1926.3599999999988</v>
      </c>
    </row>
    <row r="99" spans="1:6" x14ac:dyDescent="0.2">
      <c r="C99" s="46"/>
      <c r="D99" s="46"/>
    </row>
    <row r="100" spans="1:6" ht="13.5" thickBot="1" x14ac:dyDescent="0.25">
      <c r="A100" s="13"/>
      <c r="B100" s="7"/>
      <c r="C100" s="44"/>
      <c r="D100" s="44"/>
      <c r="E100" s="6"/>
      <c r="F100" s="6"/>
    </row>
    <row r="101" spans="1:6" x14ac:dyDescent="0.2">
      <c r="A101" s="165" t="s">
        <v>37</v>
      </c>
      <c r="B101" s="165"/>
      <c r="C101" s="18">
        <f t="shared" ref="C101:F101" si="24">C98</f>
        <v>825.91000000000031</v>
      </c>
      <c r="D101" s="18">
        <f t="shared" si="24"/>
        <v>2370</v>
      </c>
      <c r="E101" s="18">
        <f t="shared" si="24"/>
        <v>1547.1599999999994</v>
      </c>
      <c r="F101" s="18">
        <f t="shared" si="24"/>
        <v>-1926.3599999999988</v>
      </c>
    </row>
  </sheetData>
  <mergeCells count="8">
    <mergeCell ref="A71:B71"/>
    <mergeCell ref="A85:B85"/>
    <mergeCell ref="A101:B101"/>
    <mergeCell ref="A1:B1"/>
    <mergeCell ref="A3:B3"/>
    <mergeCell ref="A17:B17"/>
    <mergeCell ref="A33:B33"/>
    <mergeCell ref="A55:B55"/>
  </mergeCells>
  <phoneticPr fontId="2" type="noConversion"/>
  <pageMargins left="0.75" right="0.75" top="1" bottom="1" header="0.5" footer="0.5"/>
  <pageSetup paperSize="10" orientation="landscape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18"/>
  <sheetViews>
    <sheetView workbookViewId="0">
      <selection activeCell="D7" sqref="D7"/>
    </sheetView>
  </sheetViews>
  <sheetFormatPr defaultRowHeight="12.75" x14ac:dyDescent="0.2"/>
  <cols>
    <col min="3" max="3" width="23.75" customWidth="1"/>
    <col min="4" max="4" width="9.5" customWidth="1"/>
    <col min="5" max="5" width="9.25" customWidth="1"/>
  </cols>
  <sheetData>
    <row r="4" spans="2:11" ht="15.75" x14ac:dyDescent="0.2">
      <c r="B4" s="167" t="s">
        <v>52</v>
      </c>
      <c r="C4" s="167"/>
      <c r="D4" s="48" t="s">
        <v>127</v>
      </c>
      <c r="E4" s="48" t="s">
        <v>123</v>
      </c>
      <c r="F4" s="48" t="s">
        <v>53</v>
      </c>
      <c r="G4" s="49" t="s">
        <v>54</v>
      </c>
      <c r="H4" s="49" t="s">
        <v>55</v>
      </c>
      <c r="I4" s="49"/>
    </row>
    <row r="5" spans="2:11" x14ac:dyDescent="0.2">
      <c r="B5" s="50"/>
    </row>
    <row r="6" spans="2:11" x14ac:dyDescent="0.2">
      <c r="B6" s="50">
        <v>1160</v>
      </c>
      <c r="C6" t="s">
        <v>56</v>
      </c>
      <c r="D6" s="160">
        <f>5091.21-1741.42</f>
        <v>3349.79</v>
      </c>
      <c r="E6">
        <v>5091.21</v>
      </c>
      <c r="F6" s="22">
        <v>3236.05</v>
      </c>
      <c r="G6" s="22">
        <v>8043.71</v>
      </c>
      <c r="H6" s="22">
        <v>6225.5</v>
      </c>
      <c r="I6" s="22"/>
    </row>
    <row r="7" spans="2:11" x14ac:dyDescent="0.2">
      <c r="B7" s="50">
        <v>1200</v>
      </c>
      <c r="C7" t="s">
        <v>57</v>
      </c>
      <c r="D7">
        <f>1516.54+300</f>
        <v>1816.54</v>
      </c>
      <c r="E7">
        <v>1212.1099999999999</v>
      </c>
      <c r="F7" s="22">
        <v>859.56</v>
      </c>
      <c r="G7" s="22">
        <v>1076.6300000000001</v>
      </c>
      <c r="H7" s="22">
        <v>3245.37</v>
      </c>
      <c r="I7" s="22"/>
      <c r="K7" s="22"/>
    </row>
    <row r="8" spans="2:11" x14ac:dyDescent="0.2">
      <c r="B8" s="50">
        <v>1530</v>
      </c>
      <c r="C8" t="s">
        <v>58</v>
      </c>
      <c r="D8">
        <f>1741.13-1412.3</f>
        <v>328.83000000000015</v>
      </c>
      <c r="E8">
        <v>1741.13</v>
      </c>
      <c r="F8" s="22">
        <v>1222.96</v>
      </c>
      <c r="G8" s="22">
        <v>844.45</v>
      </c>
      <c r="H8" s="22">
        <v>1067.49</v>
      </c>
      <c r="I8" s="22"/>
    </row>
    <row r="9" spans="2:11" x14ac:dyDescent="0.2">
      <c r="B9" s="50">
        <v>1900</v>
      </c>
      <c r="C9" t="s">
        <v>59</v>
      </c>
      <c r="D9">
        <v>333</v>
      </c>
      <c r="E9">
        <v>380.75</v>
      </c>
      <c r="F9" s="22">
        <v>946</v>
      </c>
      <c r="G9" s="22">
        <v>258.75</v>
      </c>
      <c r="H9" s="22">
        <v>432.65</v>
      </c>
      <c r="I9" s="22"/>
    </row>
    <row r="10" spans="2:11" ht="13.5" thickBot="1" x14ac:dyDescent="0.25">
      <c r="B10" s="50">
        <v>1910</v>
      </c>
      <c r="C10" t="s">
        <v>60</v>
      </c>
      <c r="D10">
        <v>1275.95</v>
      </c>
      <c r="E10">
        <v>8803.49</v>
      </c>
      <c r="F10" s="22">
        <v>6067.99</v>
      </c>
      <c r="G10" s="22">
        <v>5902.9</v>
      </c>
      <c r="H10" s="22">
        <v>2572.54</v>
      </c>
      <c r="I10" s="22"/>
    </row>
    <row r="11" spans="2:11" x14ac:dyDescent="0.2">
      <c r="B11" s="51"/>
      <c r="C11" s="52" t="s">
        <v>61</v>
      </c>
      <c r="D11" s="52">
        <f>SUM(D6:D10)</f>
        <v>7104.11</v>
      </c>
      <c r="E11" s="53">
        <f>SUM(E6:E10)</f>
        <v>17228.690000000002</v>
      </c>
      <c r="F11" s="53">
        <f>SUM(F6:F10)</f>
        <v>12332.56</v>
      </c>
      <c r="G11" s="53">
        <v>16126.44</v>
      </c>
      <c r="H11" s="53">
        <v>13752.35</v>
      </c>
      <c r="I11" s="53"/>
    </row>
    <row r="12" spans="2:11" x14ac:dyDescent="0.2">
      <c r="B12" s="50"/>
      <c r="F12" s="22"/>
    </row>
    <row r="13" spans="2:11" ht="15.75" x14ac:dyDescent="0.2">
      <c r="B13" s="167" t="s">
        <v>62</v>
      </c>
      <c r="C13" s="167"/>
      <c r="D13" s="159"/>
      <c r="E13" s="147"/>
      <c r="F13" s="54"/>
    </row>
    <row r="14" spans="2:11" x14ac:dyDescent="0.2">
      <c r="B14" s="50"/>
      <c r="F14" s="22"/>
    </row>
    <row r="15" spans="2:11" x14ac:dyDescent="0.2">
      <c r="B15" s="50">
        <v>2100</v>
      </c>
      <c r="C15" t="s">
        <v>63</v>
      </c>
      <c r="D15">
        <v>17211.310000000001</v>
      </c>
      <c r="E15">
        <f>11459.55+662.98</f>
        <v>12122.529999999999</v>
      </c>
      <c r="F15" s="22">
        <v>11459.55</v>
      </c>
      <c r="G15" s="22">
        <v>13752.35</v>
      </c>
      <c r="H15" s="22">
        <v>15888.71</v>
      </c>
      <c r="I15" s="22"/>
    </row>
    <row r="16" spans="2:11" x14ac:dyDescent="0.2">
      <c r="B16" s="50">
        <v>2200</v>
      </c>
      <c r="C16" t="s">
        <v>64</v>
      </c>
      <c r="D16">
        <v>299.08999999999997</v>
      </c>
      <c r="E16">
        <v>17.38</v>
      </c>
      <c r="F16" s="22">
        <v>47.1</v>
      </c>
      <c r="G16" s="22">
        <v>826.93</v>
      </c>
      <c r="H16" s="22">
        <v>-208.8</v>
      </c>
      <c r="I16" s="22"/>
    </row>
    <row r="17" spans="2:9" ht="13.5" thickBot="1" x14ac:dyDescent="0.25">
      <c r="B17" s="50"/>
      <c r="C17" t="s">
        <v>65</v>
      </c>
      <c r="D17">
        <v>-10406.290000000001</v>
      </c>
      <c r="E17">
        <v>5088.78</v>
      </c>
      <c r="F17" s="22">
        <v>825.91</v>
      </c>
      <c r="G17" s="22">
        <v>1547.16</v>
      </c>
      <c r="H17" s="22">
        <v>-1926.36</v>
      </c>
      <c r="I17" s="22"/>
    </row>
    <row r="18" spans="2:9" x14ac:dyDescent="0.2">
      <c r="B18" s="51"/>
      <c r="C18" s="52" t="s">
        <v>66</v>
      </c>
      <c r="D18" s="52">
        <f>SUM(D15:D17)</f>
        <v>7104.1100000000006</v>
      </c>
      <c r="E18" s="53">
        <f>SUM(E15:E17)</f>
        <v>17228.689999999999</v>
      </c>
      <c r="F18" s="53">
        <f>SUM(F15:F17)</f>
        <v>12332.56</v>
      </c>
      <c r="G18" s="53">
        <v>16126.44</v>
      </c>
      <c r="H18" s="53">
        <v>13752.35</v>
      </c>
      <c r="I18" s="53"/>
    </row>
  </sheetData>
  <mergeCells count="2">
    <mergeCell ref="B4:C4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7"/>
  <sheetViews>
    <sheetView tabSelected="1" topLeftCell="A55" zoomScaleNormal="100" workbookViewId="0">
      <selection activeCell="D25" sqref="D25"/>
    </sheetView>
  </sheetViews>
  <sheetFormatPr defaultColWidth="9.375" defaultRowHeight="12.75" customHeight="1" x14ac:dyDescent="0.2"/>
  <cols>
    <col min="1" max="1" width="9.375" style="57"/>
    <col min="2" max="2" width="30.125" style="57" customWidth="1"/>
    <col min="3" max="3" width="10" style="57" customWidth="1"/>
    <col min="4" max="4" width="10.25" style="57" customWidth="1"/>
    <col min="5" max="6" width="10" style="57" customWidth="1"/>
    <col min="7" max="7" width="10" style="57" hidden="1" customWidth="1"/>
    <col min="8" max="8" width="10" style="57" customWidth="1"/>
    <col min="9" max="9" width="11" style="57" customWidth="1"/>
    <col min="10" max="10" width="9.375" style="139" customWidth="1"/>
    <col min="11" max="11" width="9.25" customWidth="1"/>
    <col min="12" max="12" width="8" style="57" customWidth="1"/>
    <col min="13" max="13" width="8" style="133" customWidth="1"/>
    <col min="14" max="14" width="8" style="57" customWidth="1"/>
    <col min="15" max="15" width="10" style="82" customWidth="1"/>
    <col min="16" max="17" width="9.375" style="57"/>
    <col min="18" max="18" width="10.875" style="57" customWidth="1"/>
    <col min="19" max="16384" width="9.375" style="57"/>
  </cols>
  <sheetData>
    <row r="1" spans="1:22" x14ac:dyDescent="0.2">
      <c r="A1" s="168" t="s">
        <v>0</v>
      </c>
      <c r="B1" s="168"/>
      <c r="C1" s="161"/>
      <c r="D1" s="161"/>
      <c r="E1" s="155"/>
      <c r="F1" s="156"/>
      <c r="G1" s="155"/>
      <c r="H1" s="134"/>
      <c r="I1" s="146"/>
      <c r="J1" s="132"/>
      <c r="L1" s="58"/>
      <c r="M1" s="125"/>
      <c r="N1" s="58"/>
      <c r="O1" s="59"/>
      <c r="P1" s="58"/>
      <c r="Q1" s="58"/>
      <c r="R1" s="58"/>
      <c r="S1" s="60"/>
      <c r="T1" s="60"/>
      <c r="U1" s="60"/>
      <c r="V1" s="60"/>
    </row>
    <row r="2" spans="1:22" x14ac:dyDescent="0.2">
      <c r="A2" s="60"/>
      <c r="B2" s="60"/>
      <c r="C2" s="60"/>
      <c r="D2" s="60"/>
      <c r="E2" s="60"/>
      <c r="F2" s="60"/>
      <c r="G2" s="158" t="s">
        <v>126</v>
      </c>
      <c r="H2" s="60"/>
      <c r="I2" s="60"/>
      <c r="J2" s="128"/>
      <c r="L2" s="60"/>
      <c r="M2" s="126"/>
      <c r="N2" s="60"/>
      <c r="O2" s="61"/>
      <c r="P2" s="60"/>
      <c r="Q2" s="60"/>
      <c r="R2" s="60"/>
      <c r="S2" s="60"/>
      <c r="T2" s="60"/>
      <c r="U2" s="60"/>
      <c r="V2" s="60"/>
    </row>
    <row r="3" spans="1:22" x14ac:dyDescent="0.2">
      <c r="A3" s="170" t="s">
        <v>1</v>
      </c>
      <c r="B3" s="170"/>
      <c r="C3" s="62" t="s">
        <v>129</v>
      </c>
      <c r="D3" s="62" t="s">
        <v>128</v>
      </c>
      <c r="E3" s="62" t="s">
        <v>124</v>
      </c>
      <c r="F3" s="62" t="s">
        <v>125</v>
      </c>
      <c r="G3" s="62" t="s">
        <v>125</v>
      </c>
      <c r="H3" s="62" t="s">
        <v>115</v>
      </c>
      <c r="I3" s="62" t="s">
        <v>116</v>
      </c>
      <c r="J3" s="138" t="s">
        <v>114</v>
      </c>
      <c r="K3" s="3" t="s">
        <v>50</v>
      </c>
      <c r="L3" s="62" t="s">
        <v>51</v>
      </c>
      <c r="M3" s="127" t="s">
        <v>41</v>
      </c>
      <c r="N3" s="62" t="s">
        <v>67</v>
      </c>
      <c r="O3" s="63" t="s">
        <v>68</v>
      </c>
      <c r="P3" s="62" t="s">
        <v>69</v>
      </c>
      <c r="Q3" s="62" t="s">
        <v>70</v>
      </c>
      <c r="R3" s="61" t="s">
        <v>71</v>
      </c>
      <c r="S3" s="60" t="s">
        <v>72</v>
      </c>
      <c r="T3" s="60" t="s">
        <v>73</v>
      </c>
      <c r="U3" s="60" t="s">
        <v>74</v>
      </c>
      <c r="V3" s="60" t="s">
        <v>75</v>
      </c>
    </row>
    <row r="4" spans="1:22" x14ac:dyDescent="0.2">
      <c r="A4" s="60"/>
      <c r="B4" s="60"/>
      <c r="C4" s="60"/>
      <c r="D4" s="60"/>
      <c r="E4" s="60"/>
      <c r="F4" s="60"/>
      <c r="G4" s="60"/>
      <c r="H4" s="60"/>
      <c r="I4" s="60"/>
      <c r="J4" s="128"/>
      <c r="K4" s="2"/>
      <c r="L4" s="60"/>
      <c r="M4" s="126"/>
      <c r="N4" s="60"/>
      <c r="O4" s="61"/>
      <c r="P4" s="60"/>
      <c r="Q4" s="60"/>
      <c r="R4" s="61"/>
      <c r="S4" s="60"/>
      <c r="T4" s="60"/>
      <c r="U4" s="60"/>
      <c r="V4" s="60"/>
    </row>
    <row r="5" spans="1:22" x14ac:dyDescent="0.2">
      <c r="A5" s="60"/>
      <c r="B5" s="60" t="s">
        <v>2</v>
      </c>
      <c r="C5" s="60"/>
      <c r="D5" s="60"/>
      <c r="E5" s="60"/>
      <c r="F5" s="60"/>
      <c r="G5" s="60"/>
      <c r="H5" s="60"/>
      <c r="I5" s="60"/>
      <c r="J5" s="128"/>
      <c r="K5" s="25"/>
      <c r="L5" s="60"/>
      <c r="M5" s="126"/>
      <c r="N5" s="60"/>
      <c r="O5" s="61"/>
      <c r="P5" s="60"/>
      <c r="Q5" s="60"/>
      <c r="R5" s="61"/>
      <c r="S5" s="60"/>
      <c r="T5" s="60"/>
      <c r="U5" s="60"/>
      <c r="V5" s="60"/>
    </row>
    <row r="6" spans="1:22" x14ac:dyDescent="0.2">
      <c r="A6" s="64">
        <v>3010</v>
      </c>
      <c r="B6" s="60" t="s">
        <v>3</v>
      </c>
      <c r="C6" s="61">
        <v>2500</v>
      </c>
      <c r="D6" s="60">
        <v>180</v>
      </c>
      <c r="E6" s="61">
        <v>2500</v>
      </c>
      <c r="F6" s="61">
        <v>12860.9</v>
      </c>
      <c r="G6" s="157">
        <f>2962.3+9031</f>
        <v>11993.3</v>
      </c>
      <c r="H6" s="61">
        <v>10000</v>
      </c>
      <c r="I6" s="61">
        <v>7168.4</v>
      </c>
      <c r="J6" s="128">
        <v>2500</v>
      </c>
      <c r="K6" s="38">
        <v>387</v>
      </c>
      <c r="L6" s="61">
        <v>2500</v>
      </c>
      <c r="M6" s="128">
        <v>6446.66</v>
      </c>
      <c r="N6" s="61">
        <v>3500</v>
      </c>
      <c r="O6" s="61">
        <v>1148.0999999999999</v>
      </c>
      <c r="P6" s="61">
        <v>3000</v>
      </c>
      <c r="Q6" s="61">
        <v>3930</v>
      </c>
      <c r="R6" s="65">
        <v>3650</v>
      </c>
      <c r="S6" s="66">
        <v>4133.9799999999996</v>
      </c>
      <c r="T6" s="66">
        <v>3650</v>
      </c>
      <c r="U6" s="66">
        <v>3669.8</v>
      </c>
      <c r="V6" s="66">
        <v>2159.42</v>
      </c>
    </row>
    <row r="7" spans="1:22" ht="13.5" customHeight="1" thickBot="1" x14ac:dyDescent="0.25">
      <c r="A7" s="64">
        <v>3030</v>
      </c>
      <c r="B7" s="60" t="s">
        <v>4</v>
      </c>
      <c r="C7" s="61">
        <v>2000</v>
      </c>
      <c r="D7" s="60">
        <v>0</v>
      </c>
      <c r="E7" s="61">
        <v>3000</v>
      </c>
      <c r="F7" s="61">
        <v>2596</v>
      </c>
      <c r="G7" s="61">
        <v>2596</v>
      </c>
      <c r="H7" s="61">
        <v>3000</v>
      </c>
      <c r="I7" s="61">
        <v>0</v>
      </c>
      <c r="J7" s="128">
        <v>0</v>
      </c>
      <c r="K7" s="38">
        <v>2715.4</v>
      </c>
      <c r="L7" s="67">
        <v>0</v>
      </c>
      <c r="M7" s="129">
        <v>330</v>
      </c>
      <c r="N7" s="68">
        <v>0</v>
      </c>
      <c r="O7" s="61">
        <v>0</v>
      </c>
      <c r="P7" s="68">
        <v>0</v>
      </c>
      <c r="Q7" s="68">
        <v>695</v>
      </c>
      <c r="R7" s="68">
        <v>0</v>
      </c>
      <c r="S7" s="69">
        <v>340</v>
      </c>
      <c r="T7" s="69">
        <v>0</v>
      </c>
      <c r="U7" s="69">
        <v>0</v>
      </c>
      <c r="V7" s="69">
        <v>421</v>
      </c>
    </row>
    <row r="8" spans="1:22" x14ac:dyDescent="0.2">
      <c r="A8" s="60"/>
      <c r="B8" s="60" t="s">
        <v>5</v>
      </c>
      <c r="C8" s="130">
        <f t="shared" ref="C8" si="0">SUM(C6:C7)</f>
        <v>4500</v>
      </c>
      <c r="D8" s="60"/>
      <c r="E8" s="130">
        <f t="shared" ref="E8:G8" si="1">SUM(E6:E7)</f>
        <v>5500</v>
      </c>
      <c r="F8" s="130">
        <f>SUM(F6:F7)</f>
        <v>15456.9</v>
      </c>
      <c r="G8" s="130">
        <f t="shared" si="1"/>
        <v>14589.3</v>
      </c>
      <c r="H8" s="130">
        <f t="shared" ref="H8:J8" si="2">SUM(H6:H7)</f>
        <v>13000</v>
      </c>
      <c r="I8" s="130">
        <f t="shared" si="2"/>
        <v>7168.4</v>
      </c>
      <c r="J8" s="130">
        <f t="shared" si="2"/>
        <v>2500</v>
      </c>
      <c r="K8" s="136">
        <f>SUM(K6:K7)</f>
        <v>3102.4</v>
      </c>
      <c r="L8" s="70">
        <f>SUM(L6:L7)</f>
        <v>2500</v>
      </c>
      <c r="M8" s="130">
        <f t="shared" ref="M8" si="3">SUM(M6:M7)</f>
        <v>6776.66</v>
      </c>
      <c r="N8" s="70">
        <f>SUM(N6:N7)</f>
        <v>3500</v>
      </c>
      <c r="O8" s="70">
        <f>SUM(O6:O7)</f>
        <v>1148.0999999999999</v>
      </c>
      <c r="P8" s="70">
        <f>SUM((P6+P7))</f>
        <v>3000</v>
      </c>
      <c r="Q8" s="70">
        <f>SUM(Q6:Q7)</f>
        <v>4625</v>
      </c>
      <c r="R8" s="70">
        <f>SUM(R6:R7)</f>
        <v>3650</v>
      </c>
      <c r="S8" s="71">
        <v>4473.9799999999996</v>
      </c>
      <c r="T8" s="71">
        <v>3650</v>
      </c>
      <c r="U8" s="71">
        <v>3669.8</v>
      </c>
      <c r="V8" s="71">
        <v>2580.42</v>
      </c>
    </row>
    <row r="9" spans="1:22" x14ac:dyDescent="0.2">
      <c r="A9" s="60"/>
      <c r="B9" s="60"/>
      <c r="C9" s="60"/>
      <c r="D9" s="60"/>
      <c r="E9" s="60"/>
      <c r="F9" s="60"/>
      <c r="G9" s="60"/>
      <c r="H9" s="60"/>
      <c r="I9" s="60"/>
      <c r="J9" s="128"/>
      <c r="K9" s="38"/>
      <c r="L9" s="61"/>
      <c r="M9" s="128"/>
      <c r="N9" s="61"/>
      <c r="O9" s="61"/>
      <c r="P9" s="61"/>
      <c r="Q9" s="61"/>
      <c r="R9" s="61"/>
      <c r="S9" s="60"/>
      <c r="T9" s="60"/>
      <c r="U9" s="60"/>
      <c r="V9" s="60"/>
    </row>
    <row r="10" spans="1:22" x14ac:dyDescent="0.2">
      <c r="A10" s="60"/>
      <c r="B10" s="60" t="s">
        <v>6</v>
      </c>
      <c r="C10" s="60"/>
      <c r="D10" s="60"/>
      <c r="E10" s="60"/>
      <c r="F10" s="60"/>
      <c r="G10" s="60"/>
      <c r="H10" s="60"/>
      <c r="I10" s="60"/>
      <c r="J10" s="128"/>
      <c r="K10" s="40"/>
      <c r="L10" s="61"/>
      <c r="M10" s="128"/>
      <c r="N10" s="61"/>
      <c r="O10" s="61"/>
      <c r="P10" s="61"/>
      <c r="Q10" s="61"/>
      <c r="R10" s="61"/>
      <c r="S10" s="60"/>
      <c r="T10" s="60"/>
      <c r="U10" s="60"/>
      <c r="V10" s="60"/>
    </row>
    <row r="11" spans="1:22" x14ac:dyDescent="0.2">
      <c r="A11" s="64">
        <v>4010</v>
      </c>
      <c r="B11" s="60" t="s">
        <v>7</v>
      </c>
      <c r="C11" s="61">
        <v>-4000</v>
      </c>
      <c r="D11" s="60"/>
      <c r="E11" s="61">
        <v>-4500</v>
      </c>
      <c r="F11" s="61">
        <v>-20889.36</v>
      </c>
      <c r="G11" s="157">
        <f>-10787.96-5000</f>
        <v>-15787.96</v>
      </c>
      <c r="H11" s="61">
        <v>-15000</v>
      </c>
      <c r="I11" s="61">
        <v>-7900.56</v>
      </c>
      <c r="J11" s="128">
        <v>-3500</v>
      </c>
      <c r="K11" s="38">
        <v>-1961.85</v>
      </c>
      <c r="L11" s="61">
        <v>-3500</v>
      </c>
      <c r="M11" s="128">
        <v>-5321.02</v>
      </c>
      <c r="N11" s="61">
        <v>-4500</v>
      </c>
      <c r="O11" s="61">
        <v>-2880.37</v>
      </c>
      <c r="P11" s="61">
        <v>-4000</v>
      </c>
      <c r="Q11" s="61">
        <v>-4875.51</v>
      </c>
      <c r="R11" s="65">
        <v>-3750</v>
      </c>
      <c r="S11" s="66">
        <v>-5058.0600000000004</v>
      </c>
      <c r="T11" s="66">
        <v>-3750</v>
      </c>
      <c r="U11" s="66">
        <v>-3294.08</v>
      </c>
      <c r="V11" s="66">
        <v>-1963.79</v>
      </c>
    </row>
    <row r="12" spans="1:22" ht="13.5" customHeight="1" thickBot="1" x14ac:dyDescent="0.25">
      <c r="A12" s="64">
        <v>4030</v>
      </c>
      <c r="B12" s="60" t="s">
        <v>8</v>
      </c>
      <c r="C12" s="61">
        <v>-2000</v>
      </c>
      <c r="D12" s="60"/>
      <c r="E12" s="61">
        <v>-4000</v>
      </c>
      <c r="F12" s="61">
        <v>-2880</v>
      </c>
      <c r="G12" s="61">
        <v>-2880</v>
      </c>
      <c r="H12" s="61">
        <v>-3000</v>
      </c>
      <c r="I12" s="61">
        <v>0</v>
      </c>
      <c r="J12" s="128">
        <v>-800</v>
      </c>
      <c r="K12" s="38">
        <v>-2960</v>
      </c>
      <c r="L12" s="67">
        <v>-800</v>
      </c>
      <c r="M12" s="129">
        <v>-680</v>
      </c>
      <c r="N12" s="68">
        <v>-1200</v>
      </c>
      <c r="O12" s="61">
        <v>0</v>
      </c>
      <c r="P12" s="68">
        <v>-1400</v>
      </c>
      <c r="Q12" s="68">
        <v>-2156.6999999999998</v>
      </c>
      <c r="R12" s="68">
        <v>-1000</v>
      </c>
      <c r="S12" s="69">
        <v>-1420</v>
      </c>
      <c r="T12" s="69">
        <v>-1000</v>
      </c>
      <c r="U12" s="69">
        <v>0</v>
      </c>
      <c r="V12" s="69">
        <v>-578</v>
      </c>
    </row>
    <row r="13" spans="1:22" x14ac:dyDescent="0.2">
      <c r="A13" s="60"/>
      <c r="B13" s="60" t="s">
        <v>9</v>
      </c>
      <c r="C13" s="130">
        <f t="shared" ref="C13" si="4">SUM(C11:C12)</f>
        <v>-6000</v>
      </c>
      <c r="D13" s="60"/>
      <c r="E13" s="130">
        <f t="shared" ref="E13:G13" si="5">SUM(E11:E12)</f>
        <v>-8500</v>
      </c>
      <c r="F13" s="130">
        <f>SUM(F11:F12)</f>
        <v>-23769.360000000001</v>
      </c>
      <c r="G13" s="130">
        <f t="shared" si="5"/>
        <v>-18667.96</v>
      </c>
      <c r="H13" s="130">
        <f t="shared" ref="H13:J13" si="6">SUM(H11:H12)</f>
        <v>-18000</v>
      </c>
      <c r="I13" s="130">
        <f t="shared" si="6"/>
        <v>-7900.56</v>
      </c>
      <c r="J13" s="130">
        <f t="shared" si="6"/>
        <v>-4300</v>
      </c>
      <c r="K13" s="136">
        <f>SUM(K11:K12)</f>
        <v>-4921.8500000000004</v>
      </c>
      <c r="L13" s="70">
        <f t="shared" ref="L13:R13" si="7">SUM(L11:L12)</f>
        <v>-4300</v>
      </c>
      <c r="M13" s="130">
        <f t="shared" si="7"/>
        <v>-6001.02</v>
      </c>
      <c r="N13" s="70">
        <f t="shared" si="7"/>
        <v>-5700</v>
      </c>
      <c r="O13" s="70">
        <f t="shared" si="7"/>
        <v>-2880.37</v>
      </c>
      <c r="P13" s="70">
        <f t="shared" si="7"/>
        <v>-5400</v>
      </c>
      <c r="Q13" s="70">
        <f t="shared" si="7"/>
        <v>-7032.21</v>
      </c>
      <c r="R13" s="70">
        <f t="shared" si="7"/>
        <v>-4750</v>
      </c>
      <c r="S13" s="71">
        <v>-6478.06</v>
      </c>
      <c r="T13" s="71">
        <v>-4750</v>
      </c>
      <c r="U13" s="71">
        <v>-3294.08</v>
      </c>
      <c r="V13" s="71">
        <v>-2541.79</v>
      </c>
    </row>
    <row r="14" spans="1:22" ht="13.5" customHeight="1" thickBot="1" x14ac:dyDescent="0.25">
      <c r="A14" s="60"/>
      <c r="B14" s="72"/>
      <c r="C14" s="72"/>
      <c r="D14" s="72"/>
      <c r="E14" s="72"/>
      <c r="F14" s="72"/>
      <c r="G14" s="72"/>
      <c r="H14" s="72"/>
      <c r="I14" s="72"/>
      <c r="J14" s="131"/>
      <c r="K14" s="41"/>
      <c r="L14" s="68"/>
      <c r="M14" s="131"/>
      <c r="N14" s="68"/>
      <c r="O14" s="68"/>
      <c r="P14" s="68"/>
      <c r="Q14" s="68"/>
      <c r="R14" s="68"/>
      <c r="S14" s="72"/>
      <c r="T14" s="72"/>
      <c r="U14" s="72"/>
      <c r="V14" s="72"/>
    </row>
    <row r="15" spans="1:22" s="76" customFormat="1" x14ac:dyDescent="0.2">
      <c r="A15" s="58"/>
      <c r="B15" s="73" t="s">
        <v>10</v>
      </c>
      <c r="C15" s="18">
        <f t="shared" ref="C15" si="8">SUM((C13+C8))</f>
        <v>-1500</v>
      </c>
      <c r="D15" s="163"/>
      <c r="E15" s="18">
        <f t="shared" ref="E15:G15" si="9">SUM((E13+E8))</f>
        <v>-3000</v>
      </c>
      <c r="F15" s="18">
        <f>F13+F8</f>
        <v>-8312.4600000000009</v>
      </c>
      <c r="G15" s="18">
        <f t="shared" si="9"/>
        <v>-4078.66</v>
      </c>
      <c r="H15" s="18">
        <f t="shared" ref="H15:J15" si="10">SUM((H13+H8))</f>
        <v>-5000</v>
      </c>
      <c r="I15" s="18">
        <f t="shared" si="10"/>
        <v>-732.16000000000076</v>
      </c>
      <c r="J15" s="18">
        <f t="shared" si="10"/>
        <v>-1800</v>
      </c>
      <c r="K15" s="18">
        <f>SUM((K13+K8))</f>
        <v>-1819.4500000000003</v>
      </c>
      <c r="L15" s="74">
        <f>SUM((L13+L8))</f>
        <v>-1800</v>
      </c>
      <c r="M15" s="18">
        <f t="shared" ref="M15" si="11">SUM((M13+M8))</f>
        <v>775.63999999999942</v>
      </c>
      <c r="N15" s="74">
        <f>SUM((N13+N8))</f>
        <v>-2200</v>
      </c>
      <c r="O15" s="74">
        <f>SUM((O13+O8))</f>
        <v>-1732.27</v>
      </c>
      <c r="P15" s="74">
        <f>SUM((P13+P8))</f>
        <v>-2400</v>
      </c>
      <c r="Q15" s="74">
        <f>SUM((Q8+Q13))</f>
        <v>-2407.21</v>
      </c>
      <c r="R15" s="74">
        <f>SUM(R13,R8)</f>
        <v>-1100</v>
      </c>
      <c r="S15" s="75">
        <v>-2004.08</v>
      </c>
      <c r="T15" s="75">
        <v>-1100</v>
      </c>
      <c r="U15" s="75">
        <v>375.72</v>
      </c>
      <c r="V15" s="75">
        <v>38.630000000000003</v>
      </c>
    </row>
    <row r="16" spans="1:22" x14ac:dyDescent="0.2">
      <c r="A16" s="60"/>
      <c r="B16" s="60"/>
      <c r="C16" s="60"/>
      <c r="D16" s="60"/>
      <c r="E16" s="60"/>
      <c r="F16" s="60"/>
      <c r="G16" s="60"/>
      <c r="H16" s="60"/>
      <c r="I16" s="60"/>
      <c r="J16" s="128"/>
      <c r="K16" s="38"/>
      <c r="L16" s="61"/>
      <c r="M16" s="128"/>
      <c r="N16" s="61"/>
      <c r="O16" s="61"/>
      <c r="P16" s="61"/>
      <c r="Q16" s="61"/>
      <c r="R16" s="61"/>
      <c r="S16" s="60"/>
      <c r="T16" s="60"/>
      <c r="U16" s="60"/>
      <c r="V16" s="60"/>
    </row>
    <row r="17" spans="1:22" x14ac:dyDescent="0.2">
      <c r="A17" s="170" t="s">
        <v>11</v>
      </c>
      <c r="B17" s="170"/>
      <c r="C17" s="62" t="s">
        <v>129</v>
      </c>
      <c r="D17" s="162"/>
      <c r="E17" s="62" t="s">
        <v>124</v>
      </c>
      <c r="F17" s="62" t="s">
        <v>125</v>
      </c>
      <c r="G17" s="62" t="s">
        <v>125</v>
      </c>
      <c r="H17" s="62" t="s">
        <v>115</v>
      </c>
      <c r="I17" s="62" t="s">
        <v>116</v>
      </c>
      <c r="J17" s="138" t="str">
        <f>J3</f>
        <v>TA2015</v>
      </c>
      <c r="K17" s="47" t="s">
        <v>50</v>
      </c>
      <c r="L17" s="62" t="s">
        <v>51</v>
      </c>
      <c r="M17" s="127" t="s">
        <v>41</v>
      </c>
      <c r="N17" s="62" t="s">
        <v>67</v>
      </c>
      <c r="O17" s="63" t="s">
        <v>68</v>
      </c>
      <c r="P17" s="63" t="s">
        <v>69</v>
      </c>
      <c r="Q17" s="63" t="s">
        <v>70</v>
      </c>
      <c r="R17" s="61" t="s">
        <v>71</v>
      </c>
      <c r="S17" s="60" t="s">
        <v>72</v>
      </c>
      <c r="T17" s="60" t="s">
        <v>73</v>
      </c>
      <c r="U17" s="60" t="s">
        <v>74</v>
      </c>
      <c r="V17" s="60" t="s">
        <v>75</v>
      </c>
    </row>
    <row r="18" spans="1:22" x14ac:dyDescent="0.2">
      <c r="A18" s="60"/>
      <c r="B18" s="60"/>
      <c r="C18" s="60"/>
      <c r="D18" s="60"/>
      <c r="E18" s="60"/>
      <c r="F18" s="60"/>
      <c r="G18" s="60"/>
      <c r="H18" s="60"/>
      <c r="I18" s="60"/>
      <c r="J18" s="128"/>
      <c r="K18" s="38"/>
      <c r="L18" s="61"/>
      <c r="M18" s="128"/>
      <c r="N18" s="61"/>
      <c r="O18" s="61"/>
      <c r="P18" s="61"/>
      <c r="Q18" s="61"/>
      <c r="R18" s="61"/>
      <c r="S18" s="60"/>
      <c r="T18" s="60"/>
      <c r="U18" s="60"/>
      <c r="V18" s="60"/>
    </row>
    <row r="19" spans="1:22" x14ac:dyDescent="0.2">
      <c r="A19" s="60"/>
      <c r="B19" s="60" t="s">
        <v>2</v>
      </c>
      <c r="C19" s="60"/>
      <c r="D19" s="60"/>
      <c r="E19" s="60"/>
      <c r="F19" s="60"/>
      <c r="G19" s="60"/>
      <c r="H19" s="60"/>
      <c r="I19" s="60"/>
      <c r="J19" s="128"/>
      <c r="K19" s="40"/>
      <c r="L19" s="61"/>
      <c r="M19" s="128"/>
      <c r="N19" s="61"/>
      <c r="O19" s="61"/>
      <c r="P19" s="61"/>
      <c r="Q19" s="61"/>
      <c r="R19" s="61"/>
      <c r="S19" s="60"/>
      <c r="T19" s="60"/>
      <c r="U19" s="60"/>
      <c r="V19" s="60"/>
    </row>
    <row r="20" spans="1:22" x14ac:dyDescent="0.2">
      <c r="A20" s="64">
        <v>3020</v>
      </c>
      <c r="B20" s="60" t="s">
        <v>76</v>
      </c>
      <c r="C20" s="61">
        <v>0</v>
      </c>
      <c r="D20" s="60"/>
      <c r="E20" s="61">
        <v>0</v>
      </c>
      <c r="F20" s="61">
        <v>5207.41</v>
      </c>
      <c r="G20" s="61">
        <v>4787.3599999999997</v>
      </c>
      <c r="H20" s="61">
        <v>6000</v>
      </c>
      <c r="I20" s="61">
        <v>6664.16</v>
      </c>
      <c r="J20" s="128">
        <v>6000</v>
      </c>
      <c r="K20" s="38">
        <v>5907.05</v>
      </c>
      <c r="L20" s="61">
        <v>5800</v>
      </c>
      <c r="M20" s="128">
        <v>6660.89</v>
      </c>
      <c r="N20" s="61">
        <v>3200</v>
      </c>
      <c r="O20" s="61">
        <v>5857.97</v>
      </c>
      <c r="P20" s="61">
        <v>3200</v>
      </c>
      <c r="Q20" s="61">
        <v>5795.95</v>
      </c>
      <c r="R20" s="61">
        <v>4500</v>
      </c>
      <c r="S20" s="64">
        <v>2499.62</v>
      </c>
      <c r="T20" s="64">
        <v>0</v>
      </c>
      <c r="U20" s="64">
        <v>4265.42</v>
      </c>
      <c r="V20" s="64">
        <v>3310.4</v>
      </c>
    </row>
    <row r="21" spans="1:22" x14ac:dyDescent="0.2">
      <c r="A21" s="64">
        <v>3050</v>
      </c>
      <c r="B21" s="60" t="s">
        <v>12</v>
      </c>
      <c r="C21" s="61">
        <v>6500</v>
      </c>
      <c r="D21" s="60"/>
      <c r="E21" s="61">
        <v>6500</v>
      </c>
      <c r="F21" s="61">
        <f>7705.76+300</f>
        <v>8005.76</v>
      </c>
      <c r="G21" s="157">
        <f>6551.51+1500</f>
        <v>8051.51</v>
      </c>
      <c r="H21" s="61">
        <v>6500</v>
      </c>
      <c r="I21" s="61">
        <v>9785.0400000000009</v>
      </c>
      <c r="J21" s="128">
        <v>5200</v>
      </c>
      <c r="K21" s="38">
        <v>5955.86</v>
      </c>
      <c r="L21" s="61">
        <v>5000</v>
      </c>
      <c r="M21" s="128">
        <v>6250</v>
      </c>
      <c r="N21" s="61">
        <v>4200</v>
      </c>
      <c r="O21" s="61">
        <v>4230</v>
      </c>
      <c r="P21" s="61">
        <v>4500</v>
      </c>
      <c r="Q21" s="61">
        <v>4410</v>
      </c>
      <c r="R21" s="61">
        <v>3000</v>
      </c>
      <c r="S21" s="64">
        <v>4280</v>
      </c>
      <c r="T21" s="64">
        <v>3000</v>
      </c>
      <c r="U21" s="64">
        <v>3094</v>
      </c>
      <c r="V21" s="64">
        <v>2662.5</v>
      </c>
    </row>
    <row r="22" spans="1:22" ht="13.5" customHeight="1" thickBot="1" x14ac:dyDescent="0.25">
      <c r="A22" s="64">
        <v>3060</v>
      </c>
      <c r="B22" s="60" t="s">
        <v>13</v>
      </c>
      <c r="C22" s="61">
        <v>400</v>
      </c>
      <c r="D22" s="60"/>
      <c r="E22" s="61">
        <v>500</v>
      </c>
      <c r="F22" s="61">
        <v>264</v>
      </c>
      <c r="G22" s="61">
        <v>257</v>
      </c>
      <c r="H22" s="61">
        <v>600</v>
      </c>
      <c r="I22" s="61">
        <v>402</v>
      </c>
      <c r="J22" s="128">
        <v>400</v>
      </c>
      <c r="K22" s="38">
        <v>157.6</v>
      </c>
      <c r="L22" s="67">
        <v>300</v>
      </c>
      <c r="M22" s="129">
        <v>273.7</v>
      </c>
      <c r="N22" s="68">
        <v>300</v>
      </c>
      <c r="O22" s="61">
        <v>470.01</v>
      </c>
      <c r="P22" s="68">
        <v>500</v>
      </c>
      <c r="Q22" s="68">
        <v>307</v>
      </c>
      <c r="R22" s="68">
        <v>900</v>
      </c>
      <c r="S22" s="69">
        <v>669.71</v>
      </c>
      <c r="T22" s="69">
        <v>500</v>
      </c>
      <c r="U22" s="69">
        <v>990.8</v>
      </c>
      <c r="V22" s="69">
        <v>364.5</v>
      </c>
    </row>
    <row r="23" spans="1:22" x14ac:dyDescent="0.2">
      <c r="A23" s="60"/>
      <c r="B23" s="60" t="s">
        <v>5</v>
      </c>
      <c r="C23" s="130">
        <f t="shared" ref="C23" si="12">SUM(C20:C22)</f>
        <v>6900</v>
      </c>
      <c r="D23" s="60"/>
      <c r="E23" s="130">
        <f t="shared" ref="E23:G23" si="13">SUM(E20:E22)</f>
        <v>7000</v>
      </c>
      <c r="F23" s="130">
        <f>SUM(F20:F22)</f>
        <v>13477.17</v>
      </c>
      <c r="G23" s="130">
        <f t="shared" si="13"/>
        <v>13095.869999999999</v>
      </c>
      <c r="H23" s="130">
        <f t="shared" ref="H23:J23" si="14">SUM(H20:H22)</f>
        <v>13100</v>
      </c>
      <c r="I23" s="130">
        <f t="shared" si="14"/>
        <v>16851.2</v>
      </c>
      <c r="J23" s="130">
        <f t="shared" si="14"/>
        <v>11600</v>
      </c>
      <c r="K23" s="130">
        <f>SUM(K20:K22)</f>
        <v>12020.51</v>
      </c>
      <c r="L23" s="70">
        <f t="shared" ref="L23:R23" si="15">SUM(L20:L22)</f>
        <v>11100</v>
      </c>
      <c r="M23" s="130">
        <f t="shared" si="15"/>
        <v>13184.59</v>
      </c>
      <c r="N23" s="70">
        <f t="shared" si="15"/>
        <v>7700</v>
      </c>
      <c r="O23" s="70">
        <f t="shared" si="15"/>
        <v>10557.980000000001</v>
      </c>
      <c r="P23" s="70">
        <f t="shared" si="15"/>
        <v>8200</v>
      </c>
      <c r="Q23" s="70">
        <f t="shared" si="15"/>
        <v>10512.95</v>
      </c>
      <c r="R23" s="70">
        <f t="shared" si="15"/>
        <v>8400</v>
      </c>
      <c r="S23" s="71">
        <v>7449.33</v>
      </c>
      <c r="T23" s="71">
        <v>3500</v>
      </c>
      <c r="U23" s="71">
        <v>8350.2199999999993</v>
      </c>
      <c r="V23" s="71">
        <v>6337.4</v>
      </c>
    </row>
    <row r="24" spans="1:22" x14ac:dyDescent="0.2">
      <c r="A24" s="60"/>
      <c r="B24" s="60"/>
      <c r="C24" s="60"/>
      <c r="D24" s="60"/>
      <c r="E24" s="60"/>
      <c r="F24" s="60"/>
      <c r="G24" s="60"/>
      <c r="H24" s="60"/>
      <c r="I24" s="60"/>
      <c r="J24" s="128"/>
      <c r="K24" s="38"/>
      <c r="L24" s="61"/>
      <c r="M24" s="128"/>
      <c r="N24" s="61"/>
      <c r="O24" s="61"/>
      <c r="P24" s="61"/>
      <c r="Q24" s="61"/>
      <c r="R24" s="61"/>
      <c r="S24" s="60"/>
      <c r="T24" s="60"/>
      <c r="U24" s="60"/>
      <c r="V24" s="60"/>
    </row>
    <row r="25" spans="1:22" x14ac:dyDescent="0.2">
      <c r="A25" s="60"/>
      <c r="B25" s="60" t="s">
        <v>6</v>
      </c>
      <c r="C25" s="60"/>
      <c r="D25" s="60"/>
      <c r="E25" s="60"/>
      <c r="F25" s="60"/>
      <c r="G25" s="60"/>
      <c r="H25" s="60"/>
      <c r="I25" s="60"/>
      <c r="J25" s="128"/>
      <c r="K25" s="40"/>
      <c r="L25" s="61"/>
      <c r="M25" s="128"/>
      <c r="N25" s="61"/>
      <c r="O25" s="61"/>
      <c r="P25" s="61"/>
      <c r="Q25" s="61"/>
      <c r="R25" s="61"/>
      <c r="S25" s="60"/>
      <c r="T25" s="60"/>
      <c r="U25" s="60"/>
      <c r="V25" s="60"/>
    </row>
    <row r="26" spans="1:22" x14ac:dyDescent="0.2">
      <c r="A26" s="64">
        <v>4020</v>
      </c>
      <c r="B26" s="60" t="s">
        <v>77</v>
      </c>
      <c r="C26" s="61">
        <v>0</v>
      </c>
      <c r="D26" s="60"/>
      <c r="E26" s="61">
        <v>0</v>
      </c>
      <c r="F26" s="61">
        <v>-8310.39</v>
      </c>
      <c r="G26" s="61">
        <v>-6546.35</v>
      </c>
      <c r="H26" s="61">
        <v>-7500</v>
      </c>
      <c r="I26" s="61">
        <v>-8022.42</v>
      </c>
      <c r="J26" s="128">
        <v>-7500</v>
      </c>
      <c r="K26" s="38">
        <v>-7349.6</v>
      </c>
      <c r="L26" s="61">
        <v>-6800</v>
      </c>
      <c r="M26" s="128">
        <v>-7432.48</v>
      </c>
      <c r="N26" s="61">
        <v>-4700</v>
      </c>
      <c r="O26" s="61">
        <v>-7445.29</v>
      </c>
      <c r="P26" s="61">
        <v>-3500</v>
      </c>
      <c r="Q26" s="61">
        <v>-6110.88</v>
      </c>
      <c r="R26" s="61">
        <v>-4800</v>
      </c>
      <c r="S26" s="64">
        <v>-2721.55</v>
      </c>
      <c r="T26" s="64">
        <v>0</v>
      </c>
      <c r="U26" s="64">
        <v>-4633.1000000000004</v>
      </c>
      <c r="V26" s="64">
        <v>-3662.75</v>
      </c>
    </row>
    <row r="27" spans="1:22" ht="13.5" customHeight="1" x14ac:dyDescent="0.2">
      <c r="A27" s="64">
        <v>4060</v>
      </c>
      <c r="B27" s="60" t="s">
        <v>14</v>
      </c>
      <c r="C27" s="61">
        <v>-600</v>
      </c>
      <c r="D27" s="60"/>
      <c r="E27" s="61">
        <v>-200</v>
      </c>
      <c r="F27" s="61">
        <v>-458.54</v>
      </c>
      <c r="G27" s="61">
        <v>-107.54</v>
      </c>
      <c r="H27" s="61">
        <v>-300</v>
      </c>
      <c r="I27" s="61">
        <v>0</v>
      </c>
      <c r="J27" s="128">
        <v>0</v>
      </c>
      <c r="K27" s="38">
        <v>-547.20000000000005</v>
      </c>
      <c r="L27" s="67">
        <v>-400</v>
      </c>
      <c r="M27" s="129">
        <v>-164.08</v>
      </c>
      <c r="N27" s="67">
        <v>-100</v>
      </c>
      <c r="O27" s="61">
        <v>-50.65</v>
      </c>
      <c r="P27" s="67">
        <v>-400</v>
      </c>
      <c r="Q27" s="67">
        <v>-269.01</v>
      </c>
      <c r="R27" s="67">
        <v>-900</v>
      </c>
      <c r="S27" s="77">
        <v>-882.22</v>
      </c>
      <c r="T27" s="77">
        <v>-400</v>
      </c>
      <c r="U27" s="77">
        <v>-1048.1600000000001</v>
      </c>
      <c r="V27" s="77">
        <v>-272.5</v>
      </c>
    </row>
    <row r="28" spans="1:22" ht="13.5" thickBot="1" x14ac:dyDescent="0.25">
      <c r="A28" s="64">
        <v>4400</v>
      </c>
      <c r="B28" s="60" t="s">
        <v>35</v>
      </c>
      <c r="C28" s="61">
        <v>0</v>
      </c>
      <c r="D28" s="60"/>
      <c r="E28" s="61">
        <v>0</v>
      </c>
      <c r="F28" s="61">
        <f>(69*1.07+9*10+33*5)-1741.13</f>
        <v>-1412.3000000000002</v>
      </c>
      <c r="G28" s="157">
        <v>0</v>
      </c>
      <c r="H28" s="61">
        <v>0</v>
      </c>
      <c r="I28" s="61">
        <v>681.1</v>
      </c>
      <c r="J28" s="128">
        <v>0</v>
      </c>
      <c r="K28" s="38">
        <v>378.51</v>
      </c>
      <c r="L28" s="61">
        <v>0</v>
      </c>
      <c r="M28" s="128">
        <v>-223.04</v>
      </c>
      <c r="N28" s="68">
        <v>0</v>
      </c>
      <c r="O28" s="61">
        <v>699.29</v>
      </c>
      <c r="P28" s="68">
        <v>0</v>
      </c>
      <c r="Q28" s="68">
        <v>-136.80000000000001</v>
      </c>
      <c r="R28" s="68">
        <v>0</v>
      </c>
      <c r="S28" s="69">
        <v>350.1</v>
      </c>
      <c r="T28" s="72"/>
      <c r="U28" s="69">
        <v>-39.549999999999997</v>
      </c>
      <c r="V28" s="69">
        <v>0</v>
      </c>
    </row>
    <row r="29" spans="1:22" x14ac:dyDescent="0.2">
      <c r="A29" s="60"/>
      <c r="B29" s="60" t="s">
        <v>9</v>
      </c>
      <c r="C29" s="130">
        <f t="shared" ref="C29" si="16">SUM(C26:C27)</f>
        <v>-600</v>
      </c>
      <c r="D29" s="60"/>
      <c r="E29" s="130">
        <f t="shared" ref="E29" si="17">SUM(E26:E27)</f>
        <v>-200</v>
      </c>
      <c r="F29" s="130">
        <f>SUM(F26:F28)</f>
        <v>-10181.23</v>
      </c>
      <c r="G29" s="130">
        <f>SUM(G26:G28)</f>
        <v>-6653.89</v>
      </c>
      <c r="H29" s="130">
        <f t="shared" ref="H29:J29" si="18">SUM(H26:H27)</f>
        <v>-7800</v>
      </c>
      <c r="I29" s="130">
        <f>SUM(I26:I28)</f>
        <v>-7341.32</v>
      </c>
      <c r="J29" s="130">
        <f t="shared" si="18"/>
        <v>-7500</v>
      </c>
      <c r="K29" s="130">
        <f>SUM(K26:K28)</f>
        <v>-7518.29</v>
      </c>
      <c r="L29" s="70">
        <f t="shared" ref="L29:R29" si="19">SUM(L26:L27)</f>
        <v>-7200</v>
      </c>
      <c r="M29" s="130">
        <f t="shared" si="19"/>
        <v>-7596.5599999999995</v>
      </c>
      <c r="N29" s="70">
        <f t="shared" si="19"/>
        <v>-4800</v>
      </c>
      <c r="O29" s="70">
        <f t="shared" si="19"/>
        <v>-7495.94</v>
      </c>
      <c r="P29" s="70">
        <f t="shared" si="19"/>
        <v>-3900</v>
      </c>
      <c r="Q29" s="70">
        <f t="shared" si="19"/>
        <v>-6379.89</v>
      </c>
      <c r="R29" s="70">
        <f t="shared" si="19"/>
        <v>-5700</v>
      </c>
      <c r="S29" s="71">
        <v>-3603.77</v>
      </c>
      <c r="T29" s="71">
        <v>-400</v>
      </c>
      <c r="U29" s="71">
        <v>-5681.26</v>
      </c>
      <c r="V29" s="71">
        <v>-3935.25</v>
      </c>
    </row>
    <row r="30" spans="1:22" ht="13.5" customHeight="1" thickBot="1" x14ac:dyDescent="0.25">
      <c r="A30" s="60"/>
      <c r="B30" s="72"/>
      <c r="C30" s="72"/>
      <c r="D30" s="72"/>
      <c r="E30" s="72"/>
      <c r="F30" s="72"/>
      <c r="G30" s="72"/>
      <c r="H30" s="72"/>
      <c r="I30" s="72"/>
      <c r="J30" s="131"/>
      <c r="K30" s="57"/>
      <c r="L30" s="68"/>
      <c r="M30" s="131"/>
      <c r="N30" s="68"/>
      <c r="O30" s="68"/>
      <c r="P30" s="68"/>
      <c r="Q30" s="68"/>
      <c r="R30" s="68"/>
      <c r="S30" s="72"/>
      <c r="T30" s="72"/>
      <c r="U30" s="72"/>
      <c r="V30" s="72"/>
    </row>
    <row r="31" spans="1:22" s="76" customFormat="1" x14ac:dyDescent="0.2">
      <c r="A31" s="58"/>
      <c r="B31" s="73" t="s">
        <v>10</v>
      </c>
      <c r="C31" s="18">
        <f>SUM((C29+C23))</f>
        <v>6300</v>
      </c>
      <c r="D31" s="163"/>
      <c r="E31" s="18">
        <f>SUM((E29+E23))</f>
        <v>6800</v>
      </c>
      <c r="F31" s="18">
        <f>F29+F23</f>
        <v>3295.9400000000005</v>
      </c>
      <c r="G31" s="18">
        <f>SUM((G29+G23))</f>
        <v>6441.9799999999987</v>
      </c>
      <c r="H31" s="18">
        <f>SUM((H29+H23))</f>
        <v>5300</v>
      </c>
      <c r="I31" s="18">
        <f>SUM((I29+I23))</f>
        <v>9509.880000000001</v>
      </c>
      <c r="J31" s="18">
        <f>SUM((J29+J23))</f>
        <v>4100</v>
      </c>
      <c r="K31" s="18">
        <f>SUM(K23+K29)</f>
        <v>4502.22</v>
      </c>
      <c r="L31" s="74">
        <f>SUM((L29+L23))</f>
        <v>3900</v>
      </c>
      <c r="M31" s="18">
        <f>SUM((M29+M23))</f>
        <v>5588.0300000000007</v>
      </c>
      <c r="N31" s="74">
        <f>SUM((N29+N23))</f>
        <v>2900</v>
      </c>
      <c r="O31" s="74">
        <f>SUM((O29+O23))</f>
        <v>3062.0400000000018</v>
      </c>
      <c r="P31" s="74">
        <f>SUM((P29+P23))</f>
        <v>4300</v>
      </c>
      <c r="Q31" s="74">
        <f>SUM((Q23+Q29))</f>
        <v>4133.0600000000004</v>
      </c>
      <c r="R31" s="74">
        <f>SUM(R29,R23)</f>
        <v>2700</v>
      </c>
      <c r="S31" s="75">
        <v>3845.56</v>
      </c>
      <c r="T31" s="75">
        <v>3100</v>
      </c>
      <c r="U31" s="75">
        <v>2668.96</v>
      </c>
      <c r="V31" s="75">
        <v>2402.15</v>
      </c>
    </row>
    <row r="32" spans="1:22" x14ac:dyDescent="0.2">
      <c r="A32" s="60"/>
      <c r="B32" s="60"/>
      <c r="C32" s="60"/>
      <c r="D32" s="60"/>
      <c r="E32" s="60"/>
      <c r="F32" s="60"/>
      <c r="G32" s="60"/>
      <c r="H32" s="60"/>
      <c r="I32" s="60"/>
      <c r="J32" s="128"/>
      <c r="K32" s="57"/>
      <c r="L32" s="61"/>
      <c r="M32" s="128"/>
      <c r="N32" s="61"/>
      <c r="O32" s="61"/>
      <c r="P32" s="61"/>
      <c r="Q32" s="61"/>
      <c r="R32" s="61"/>
      <c r="S32" s="60"/>
      <c r="T32" s="60"/>
      <c r="U32" s="60"/>
      <c r="V32" s="60"/>
    </row>
    <row r="33" spans="1:22" x14ac:dyDescent="0.2">
      <c r="A33" s="170" t="s">
        <v>15</v>
      </c>
      <c r="B33" s="170"/>
      <c r="C33" s="62" t="s">
        <v>129</v>
      </c>
      <c r="D33" s="162"/>
      <c r="E33" s="62" t="s">
        <v>124</v>
      </c>
      <c r="F33" s="62" t="s">
        <v>125</v>
      </c>
      <c r="G33" s="62" t="s">
        <v>125</v>
      </c>
      <c r="H33" s="62" t="s">
        <v>115</v>
      </c>
      <c r="I33" s="62" t="s">
        <v>116</v>
      </c>
      <c r="J33" s="138" t="str">
        <f>J3</f>
        <v>TA2015</v>
      </c>
      <c r="K33" s="47" t="s">
        <v>50</v>
      </c>
      <c r="L33" s="62" t="s">
        <v>51</v>
      </c>
      <c r="M33" s="127" t="s">
        <v>41</v>
      </c>
      <c r="N33" s="62" t="s">
        <v>67</v>
      </c>
      <c r="O33" s="63" t="s">
        <v>68</v>
      </c>
      <c r="P33" s="63" t="s">
        <v>69</v>
      </c>
      <c r="Q33" s="63" t="s">
        <v>70</v>
      </c>
      <c r="R33" s="61" t="s">
        <v>71</v>
      </c>
      <c r="S33" s="60" t="s">
        <v>72</v>
      </c>
      <c r="T33" s="60" t="s">
        <v>73</v>
      </c>
      <c r="U33" s="60" t="s">
        <v>74</v>
      </c>
      <c r="V33" s="60" t="s">
        <v>75</v>
      </c>
    </row>
    <row r="34" spans="1:22" x14ac:dyDescent="0.2">
      <c r="A34" s="60"/>
      <c r="B34" s="60"/>
      <c r="C34" s="60"/>
      <c r="D34" s="60"/>
      <c r="E34" s="60"/>
      <c r="F34" s="60"/>
      <c r="G34" s="60"/>
      <c r="H34" s="60"/>
      <c r="I34" s="60"/>
      <c r="J34" s="128"/>
      <c r="K34" s="38"/>
      <c r="L34" s="61"/>
      <c r="M34" s="128"/>
      <c r="N34" s="61"/>
      <c r="O34" s="61"/>
      <c r="P34" s="61"/>
      <c r="Q34" s="61"/>
      <c r="R34" s="61"/>
      <c r="S34" s="60"/>
      <c r="T34" s="60"/>
      <c r="U34" s="60"/>
      <c r="V34" s="60"/>
    </row>
    <row r="35" spans="1:22" x14ac:dyDescent="0.2">
      <c r="A35" s="60"/>
      <c r="B35" s="60" t="s">
        <v>2</v>
      </c>
      <c r="C35" s="60"/>
      <c r="D35" s="60"/>
      <c r="E35" s="60"/>
      <c r="F35" s="60"/>
      <c r="G35" s="60"/>
      <c r="H35" s="60"/>
      <c r="I35" s="60"/>
      <c r="J35" s="128"/>
      <c r="K35" s="43"/>
      <c r="L35" s="61"/>
      <c r="M35" s="128"/>
      <c r="N35" s="61"/>
      <c r="O35" s="61"/>
      <c r="P35" s="61"/>
      <c r="Q35" s="61"/>
      <c r="R35" s="61"/>
      <c r="S35" s="60"/>
      <c r="T35" s="60"/>
      <c r="U35" s="60"/>
      <c r="V35" s="60"/>
    </row>
    <row r="36" spans="1:22" x14ac:dyDescent="0.2">
      <c r="A36" s="64">
        <v>3040</v>
      </c>
      <c r="B36" s="60" t="s">
        <v>16</v>
      </c>
      <c r="C36" s="61">
        <v>0</v>
      </c>
      <c r="D36" s="60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28">
        <v>0</v>
      </c>
      <c r="K36" s="38">
        <v>0</v>
      </c>
      <c r="L36" s="61">
        <v>0</v>
      </c>
      <c r="M36" s="128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4">
        <v>0</v>
      </c>
      <c r="T36" s="64">
        <v>0</v>
      </c>
      <c r="U36" s="64">
        <v>0</v>
      </c>
      <c r="V36" s="64">
        <v>0</v>
      </c>
    </row>
    <row r="37" spans="1:22" ht="13.5" customHeight="1" x14ac:dyDescent="0.2">
      <c r="A37" s="64">
        <v>3090</v>
      </c>
      <c r="B37" s="60" t="s">
        <v>17</v>
      </c>
      <c r="C37" s="61">
        <v>0</v>
      </c>
      <c r="D37" s="60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128">
        <v>0</v>
      </c>
      <c r="K37" s="38">
        <v>0</v>
      </c>
      <c r="L37" s="67">
        <v>0</v>
      </c>
      <c r="M37" s="129">
        <v>0</v>
      </c>
      <c r="N37" s="67">
        <v>0</v>
      </c>
      <c r="O37" s="61">
        <v>0</v>
      </c>
      <c r="P37" s="67">
        <v>0</v>
      </c>
      <c r="Q37" s="67">
        <v>0</v>
      </c>
      <c r="R37" s="67">
        <v>0</v>
      </c>
      <c r="S37" s="77">
        <v>550</v>
      </c>
      <c r="T37" s="77">
        <v>0</v>
      </c>
      <c r="U37" s="77">
        <v>0</v>
      </c>
      <c r="V37" s="77">
        <v>82.5</v>
      </c>
    </row>
    <row r="38" spans="1:22" ht="13.5" customHeight="1" thickBot="1" x14ac:dyDescent="0.25">
      <c r="A38" s="64">
        <v>3100</v>
      </c>
      <c r="B38" s="60" t="s">
        <v>44</v>
      </c>
      <c r="C38" s="60">
        <v>0</v>
      </c>
      <c r="D38" s="60"/>
      <c r="E38" s="60">
        <v>50</v>
      </c>
      <c r="F38" s="61">
        <v>50</v>
      </c>
      <c r="G38" s="158">
        <v>0</v>
      </c>
      <c r="H38" s="60">
        <v>150</v>
      </c>
      <c r="I38" s="60">
        <v>90</v>
      </c>
      <c r="J38" s="128">
        <v>150</v>
      </c>
      <c r="K38" s="38">
        <v>170</v>
      </c>
      <c r="L38" s="67">
        <v>130</v>
      </c>
      <c r="M38" s="129">
        <v>150</v>
      </c>
      <c r="N38" s="68"/>
      <c r="O38" s="61"/>
      <c r="P38" s="68"/>
      <c r="Q38" s="68"/>
      <c r="R38" s="68"/>
      <c r="S38" s="69"/>
      <c r="T38" s="69"/>
      <c r="U38" s="69"/>
      <c r="V38" s="69"/>
    </row>
    <row r="39" spans="1:22" x14ac:dyDescent="0.2">
      <c r="A39" s="60"/>
      <c r="B39" s="60" t="s">
        <v>5</v>
      </c>
      <c r="C39" s="130">
        <f t="shared" ref="C39" si="20">SUM(C36:C38)</f>
        <v>0</v>
      </c>
      <c r="D39" s="60"/>
      <c r="E39" s="130">
        <f t="shared" ref="E39:J39" si="21">SUM(E36:E38)</f>
        <v>50</v>
      </c>
      <c r="F39" s="130">
        <f t="shared" si="21"/>
        <v>50</v>
      </c>
      <c r="G39" s="130">
        <f t="shared" si="21"/>
        <v>0</v>
      </c>
      <c r="H39" s="130">
        <f t="shared" si="21"/>
        <v>150</v>
      </c>
      <c r="I39" s="130">
        <f t="shared" si="21"/>
        <v>90</v>
      </c>
      <c r="J39" s="130">
        <f t="shared" si="21"/>
        <v>150</v>
      </c>
      <c r="K39" s="130">
        <f t="shared" ref="K39" si="22">SUM(K36:K38)</f>
        <v>170</v>
      </c>
      <c r="L39" s="70">
        <f>SUM(L36:L38)</f>
        <v>130</v>
      </c>
      <c r="M39" s="130">
        <f>SUM(M36:M38)</f>
        <v>150</v>
      </c>
      <c r="N39" s="70">
        <f t="shared" ref="N39:V39" si="23">SUM(N36:N38)</f>
        <v>0</v>
      </c>
      <c r="O39" s="70">
        <f t="shared" si="23"/>
        <v>0</v>
      </c>
      <c r="P39" s="70">
        <f t="shared" si="23"/>
        <v>0</v>
      </c>
      <c r="Q39" s="70">
        <f t="shared" si="23"/>
        <v>0</v>
      </c>
      <c r="R39" s="70">
        <f t="shared" si="23"/>
        <v>0</v>
      </c>
      <c r="S39" s="70">
        <f t="shared" si="23"/>
        <v>550</v>
      </c>
      <c r="T39" s="70">
        <f t="shared" si="23"/>
        <v>0</v>
      </c>
      <c r="U39" s="70">
        <f t="shared" si="23"/>
        <v>0</v>
      </c>
      <c r="V39" s="70">
        <f t="shared" si="23"/>
        <v>82.5</v>
      </c>
    </row>
    <row r="40" spans="1:22" x14ac:dyDescent="0.2">
      <c r="A40" s="60"/>
      <c r="B40" s="60"/>
      <c r="C40" s="60"/>
      <c r="D40" s="60"/>
      <c r="E40" s="60"/>
      <c r="F40" s="60"/>
      <c r="G40" s="60"/>
      <c r="H40" s="60"/>
      <c r="I40" s="60"/>
      <c r="J40" s="128"/>
      <c r="K40" s="38"/>
      <c r="L40" s="61"/>
      <c r="M40" s="128"/>
      <c r="N40" s="61"/>
      <c r="O40" s="61"/>
      <c r="P40" s="61"/>
      <c r="Q40" s="61"/>
      <c r="R40" s="61"/>
      <c r="S40" s="60"/>
      <c r="T40" s="60"/>
      <c r="U40" s="60"/>
      <c r="V40" s="60"/>
    </row>
    <row r="41" spans="1:22" x14ac:dyDescent="0.2">
      <c r="A41" s="60"/>
      <c r="B41" s="60" t="s">
        <v>6</v>
      </c>
      <c r="C41" s="60"/>
      <c r="D41" s="60"/>
      <c r="E41" s="60"/>
      <c r="F41" s="60"/>
      <c r="G41" s="60"/>
      <c r="H41" s="60"/>
      <c r="I41" s="60"/>
      <c r="J41" s="128"/>
      <c r="K41" s="43"/>
      <c r="L41" s="61"/>
      <c r="M41" s="128"/>
      <c r="N41" s="61"/>
      <c r="O41" s="61"/>
      <c r="P41" s="61"/>
      <c r="Q41" s="61"/>
      <c r="R41" s="61"/>
      <c r="S41" s="60"/>
      <c r="T41" s="60"/>
      <c r="U41" s="60"/>
      <c r="V41" s="60"/>
    </row>
    <row r="42" spans="1:22" x14ac:dyDescent="0.2">
      <c r="A42" s="64">
        <v>4040</v>
      </c>
      <c r="B42" s="60" t="s">
        <v>18</v>
      </c>
      <c r="C42" s="61">
        <v>-120</v>
      </c>
      <c r="D42" s="60"/>
      <c r="E42" s="61">
        <v>-80</v>
      </c>
      <c r="F42" s="61">
        <v>-54.27</v>
      </c>
      <c r="G42" s="61">
        <v>-25.97</v>
      </c>
      <c r="H42" s="61">
        <v>-80</v>
      </c>
      <c r="I42" s="61">
        <v>-31.64</v>
      </c>
      <c r="J42" s="128">
        <v>-80</v>
      </c>
      <c r="K42" s="38">
        <v>-63.21</v>
      </c>
      <c r="L42" s="61">
        <v>-80</v>
      </c>
      <c r="M42" s="128">
        <v>-82.02</v>
      </c>
      <c r="N42" s="61">
        <v>-100</v>
      </c>
      <c r="O42" s="61">
        <v>-43.22</v>
      </c>
      <c r="P42" s="61">
        <v>-200</v>
      </c>
      <c r="Q42" s="61">
        <v>-92.71</v>
      </c>
      <c r="R42" s="61">
        <v>-100</v>
      </c>
      <c r="S42" s="64">
        <v>-100.61</v>
      </c>
      <c r="T42" s="64">
        <v>-200</v>
      </c>
      <c r="U42" s="64">
        <v>-36.549999999999997</v>
      </c>
      <c r="V42" s="64">
        <v>-189.55</v>
      </c>
    </row>
    <row r="43" spans="1:22" x14ac:dyDescent="0.2">
      <c r="A43" s="64">
        <v>4050</v>
      </c>
      <c r="B43" s="60" t="s">
        <v>19</v>
      </c>
      <c r="C43" s="61">
        <v>-4000</v>
      </c>
      <c r="D43" s="60"/>
      <c r="E43" s="61">
        <v>-2500</v>
      </c>
      <c r="F43" s="61">
        <v>0</v>
      </c>
      <c r="G43" s="61">
        <v>0</v>
      </c>
      <c r="H43" s="61">
        <v>-2500</v>
      </c>
      <c r="I43" s="61">
        <v>-3596.58</v>
      </c>
      <c r="J43" s="128">
        <v>-2500</v>
      </c>
      <c r="K43" s="38">
        <v>855.6</v>
      </c>
      <c r="L43" s="61">
        <v>-2500</v>
      </c>
      <c r="M43" s="128">
        <v>-4261.82</v>
      </c>
      <c r="N43" s="61">
        <v>-2000</v>
      </c>
      <c r="O43" s="61">
        <v>-5560.7</v>
      </c>
      <c r="P43" s="61">
        <v>-1500</v>
      </c>
      <c r="Q43" s="61">
        <v>0</v>
      </c>
      <c r="R43" s="61">
        <v>-2000</v>
      </c>
      <c r="S43" s="64">
        <v>0</v>
      </c>
      <c r="T43" s="64">
        <v>0</v>
      </c>
      <c r="U43" s="64">
        <v>0</v>
      </c>
      <c r="V43" s="64">
        <v>0</v>
      </c>
    </row>
    <row r="44" spans="1:22" x14ac:dyDescent="0.2">
      <c r="A44" s="64"/>
      <c r="B44" s="60" t="s">
        <v>78</v>
      </c>
      <c r="C44" s="61">
        <v>4000</v>
      </c>
      <c r="D44" s="60"/>
      <c r="E44" s="61">
        <v>2500</v>
      </c>
      <c r="F44" s="61">
        <v>0</v>
      </c>
      <c r="G44" s="61">
        <v>0</v>
      </c>
      <c r="H44" s="61">
        <v>2500</v>
      </c>
      <c r="I44" s="61">
        <v>3596.58</v>
      </c>
      <c r="J44" s="128">
        <v>2500</v>
      </c>
      <c r="K44" s="140">
        <v>-855.6</v>
      </c>
      <c r="L44" s="61">
        <v>2500</v>
      </c>
      <c r="M44" s="128">
        <v>4261.82</v>
      </c>
      <c r="N44" s="61"/>
      <c r="O44" s="61"/>
      <c r="P44" s="61"/>
      <c r="Q44" s="61"/>
      <c r="R44" s="61"/>
      <c r="S44" s="64"/>
      <c r="T44" s="64"/>
      <c r="U44" s="64"/>
      <c r="V44" s="64"/>
    </row>
    <row r="45" spans="1:22" x14ac:dyDescent="0.2">
      <c r="A45" s="64">
        <v>4070</v>
      </c>
      <c r="B45" s="60" t="s">
        <v>20</v>
      </c>
      <c r="C45" s="61">
        <v>-1000</v>
      </c>
      <c r="D45" s="60"/>
      <c r="E45" s="61">
        <v>-1000</v>
      </c>
      <c r="F45" s="61">
        <v>-779.05</v>
      </c>
      <c r="G45" s="61">
        <v>-1275.1500000000001</v>
      </c>
      <c r="H45" s="61">
        <v>-1000</v>
      </c>
      <c r="I45" s="61">
        <v>-1243.75</v>
      </c>
      <c r="J45" s="128">
        <v>-1000</v>
      </c>
      <c r="K45" s="38">
        <v>-617.05999999999995</v>
      </c>
      <c r="L45" s="61">
        <v>-800</v>
      </c>
      <c r="M45" s="128">
        <v>-940.2</v>
      </c>
      <c r="N45" s="61">
        <v>-800</v>
      </c>
      <c r="O45" s="61">
        <v>-624.46</v>
      </c>
      <c r="P45" s="61">
        <v>-1300</v>
      </c>
      <c r="Q45" s="61">
        <v>-811.5</v>
      </c>
      <c r="R45" s="61">
        <v>-400</v>
      </c>
      <c r="S45" s="64">
        <v>-1224.57</v>
      </c>
      <c r="T45" s="64">
        <v>-400</v>
      </c>
      <c r="U45" s="64">
        <v>-2060.37</v>
      </c>
      <c r="V45" s="64">
        <v>-2234.08</v>
      </c>
    </row>
    <row r="46" spans="1:22" x14ac:dyDescent="0.2">
      <c r="A46" s="64">
        <v>4080</v>
      </c>
      <c r="B46" s="60" t="s">
        <v>79</v>
      </c>
      <c r="C46" s="61">
        <v>-800</v>
      </c>
      <c r="D46" s="60"/>
      <c r="E46" s="61">
        <v>-800</v>
      </c>
      <c r="F46" s="61">
        <v>-986.1</v>
      </c>
      <c r="G46" s="157">
        <f>-607.15-300</f>
        <v>-907.15</v>
      </c>
      <c r="H46" s="61">
        <v>-800</v>
      </c>
      <c r="I46" s="61">
        <v>-947.06</v>
      </c>
      <c r="J46" s="128">
        <v>-600</v>
      </c>
      <c r="K46" s="38">
        <v>-705.6</v>
      </c>
      <c r="L46" s="61">
        <v>-600</v>
      </c>
      <c r="M46" s="128">
        <v>-551.12</v>
      </c>
      <c r="N46" s="61"/>
      <c r="O46" s="61">
        <v>-618.16</v>
      </c>
      <c r="P46" s="61"/>
      <c r="Q46" s="61"/>
      <c r="R46" s="61"/>
      <c r="S46" s="64"/>
      <c r="T46" s="64"/>
      <c r="U46" s="64"/>
      <c r="V46" s="64"/>
    </row>
    <row r="47" spans="1:22" ht="13.5" customHeight="1" x14ac:dyDescent="0.2">
      <c r="A47" s="64">
        <v>4090</v>
      </c>
      <c r="B47" s="60" t="s">
        <v>21</v>
      </c>
      <c r="C47" s="61">
        <v>-1200</v>
      </c>
      <c r="D47" s="60"/>
      <c r="E47" s="61">
        <v>-1200</v>
      </c>
      <c r="F47" s="61">
        <v>-1877.67</v>
      </c>
      <c r="G47" s="61">
        <v>-999.07</v>
      </c>
      <c r="H47" s="61">
        <v>-700</v>
      </c>
      <c r="I47" s="61">
        <v>-2079.3200000000002</v>
      </c>
      <c r="J47" s="128">
        <v>-550</v>
      </c>
      <c r="K47" s="38">
        <v>-594.13</v>
      </c>
      <c r="L47" s="67">
        <v>-400</v>
      </c>
      <c r="M47" s="129">
        <v>-1933.44</v>
      </c>
      <c r="N47" s="67">
        <v>-500</v>
      </c>
      <c r="O47" s="61">
        <v>-162.01</v>
      </c>
      <c r="P47" s="67">
        <v>-250</v>
      </c>
      <c r="Q47" s="67">
        <v>-798.12</v>
      </c>
      <c r="R47" s="67">
        <v>0</v>
      </c>
      <c r="S47" s="77">
        <v>-1723.4</v>
      </c>
      <c r="T47" s="77">
        <v>0</v>
      </c>
      <c r="U47" s="77">
        <v>-565.16999999999996</v>
      </c>
      <c r="V47" s="77">
        <v>-255.97</v>
      </c>
    </row>
    <row r="48" spans="1:22" ht="13.5" customHeight="1" x14ac:dyDescent="0.2">
      <c r="A48" s="64">
        <v>4100</v>
      </c>
      <c r="B48" s="60" t="s">
        <v>45</v>
      </c>
      <c r="C48" s="61">
        <v>-280</v>
      </c>
      <c r="D48" s="60"/>
      <c r="E48" s="61">
        <v>-280</v>
      </c>
      <c r="F48" s="61">
        <v>-232.42</v>
      </c>
      <c r="G48" s="61">
        <v>-232.42</v>
      </c>
      <c r="H48" s="61">
        <v>-280</v>
      </c>
      <c r="I48" s="61">
        <v>-232.42</v>
      </c>
      <c r="J48" s="128">
        <v>-280</v>
      </c>
      <c r="K48" s="38">
        <v>-267.18</v>
      </c>
      <c r="L48" s="67">
        <v>-280</v>
      </c>
      <c r="M48" s="129">
        <v>-266.57</v>
      </c>
      <c r="N48" s="67"/>
      <c r="O48" s="61"/>
      <c r="P48" s="67"/>
      <c r="Q48" s="67"/>
      <c r="R48" s="67"/>
      <c r="S48" s="77"/>
      <c r="T48" s="77"/>
      <c r="U48" s="77"/>
      <c r="V48" s="77"/>
    </row>
    <row r="49" spans="1:22" ht="13.5" thickBot="1" x14ac:dyDescent="0.25">
      <c r="A49" s="64">
        <v>4500</v>
      </c>
      <c r="B49" s="60" t="s">
        <v>31</v>
      </c>
      <c r="C49" s="61">
        <v>0</v>
      </c>
      <c r="D49" s="60"/>
      <c r="E49" s="61">
        <v>0</v>
      </c>
      <c r="F49" s="61">
        <v>-1741.42</v>
      </c>
      <c r="G49" s="61">
        <v>-1741.42</v>
      </c>
      <c r="H49" s="61">
        <v>0</v>
      </c>
      <c r="I49" s="61">
        <v>-1741.42</v>
      </c>
      <c r="J49" s="128">
        <v>0</v>
      </c>
      <c r="K49" s="38">
        <v>-1823.3</v>
      </c>
      <c r="L49" s="67">
        <v>0</v>
      </c>
      <c r="M49" s="129">
        <v>-2443.61</v>
      </c>
      <c r="N49" s="68">
        <v>-1780</v>
      </c>
      <c r="O49" s="61">
        <v>-1780.8</v>
      </c>
      <c r="P49" s="68">
        <v>-1250</v>
      </c>
      <c r="Q49" s="68">
        <v>-1203.2</v>
      </c>
      <c r="R49" s="68">
        <v>0</v>
      </c>
      <c r="S49" s="69">
        <v>-4627.5</v>
      </c>
      <c r="T49" s="69">
        <v>0</v>
      </c>
      <c r="U49" s="69">
        <v>-1150.57</v>
      </c>
      <c r="V49" s="69">
        <v>-1438.22</v>
      </c>
    </row>
    <row r="50" spans="1:22" x14ac:dyDescent="0.2">
      <c r="A50" s="60"/>
      <c r="B50" s="60" t="s">
        <v>9</v>
      </c>
      <c r="C50" s="130">
        <f>SUM(C42:C49)</f>
        <v>-3400</v>
      </c>
      <c r="D50" s="60"/>
      <c r="E50" s="130">
        <f>SUM(E42:E49)</f>
        <v>-3360</v>
      </c>
      <c r="F50" s="130">
        <f>SUM(F42:F49)</f>
        <v>-5670.93</v>
      </c>
      <c r="G50" s="130">
        <f>SUM(G42:G49)</f>
        <v>-5181.18</v>
      </c>
      <c r="H50" s="130">
        <f>SUM(H42:H49)</f>
        <v>-2860</v>
      </c>
      <c r="I50" s="130">
        <f>SUM(I42:I49)</f>
        <v>-6275.6100000000006</v>
      </c>
      <c r="J50" s="130">
        <f>SUM(J42:J48)</f>
        <v>-2510</v>
      </c>
      <c r="K50" s="130">
        <f>SUM(K42:K49)</f>
        <v>-4070.4799999999996</v>
      </c>
      <c r="L50" s="70">
        <f>SUM(L42:L48)</f>
        <v>-2160</v>
      </c>
      <c r="M50" s="130">
        <f>SUM(M42:M48)</f>
        <v>-3773.3500000000008</v>
      </c>
      <c r="N50" s="70">
        <f t="shared" ref="N50:V50" si="24">SUM(N42:N48)</f>
        <v>-3400</v>
      </c>
      <c r="O50" s="70">
        <f t="shared" si="24"/>
        <v>-7008.55</v>
      </c>
      <c r="P50" s="70">
        <f t="shared" si="24"/>
        <v>-3250</v>
      </c>
      <c r="Q50" s="70">
        <f t="shared" si="24"/>
        <v>-1702.33</v>
      </c>
      <c r="R50" s="70">
        <f t="shared" si="24"/>
        <v>-2500</v>
      </c>
      <c r="S50" s="70">
        <f t="shared" si="24"/>
        <v>-3048.58</v>
      </c>
      <c r="T50" s="70">
        <f t="shared" si="24"/>
        <v>-600</v>
      </c>
      <c r="U50" s="70">
        <f t="shared" si="24"/>
        <v>-2662.09</v>
      </c>
      <c r="V50" s="70">
        <f t="shared" si="24"/>
        <v>-2679.6</v>
      </c>
    </row>
    <row r="51" spans="1:22" ht="13.5" customHeight="1" thickBot="1" x14ac:dyDescent="0.25">
      <c r="A51" s="60"/>
      <c r="B51" s="72"/>
      <c r="C51" s="72"/>
      <c r="D51" s="72"/>
      <c r="E51" s="72"/>
      <c r="F51" s="72"/>
      <c r="G51" s="72"/>
      <c r="H51" s="72"/>
      <c r="I51" s="72"/>
      <c r="J51" s="131"/>
      <c r="K51" s="44"/>
      <c r="L51" s="68"/>
      <c r="M51" s="131"/>
      <c r="N51" s="68"/>
      <c r="O51" s="68"/>
      <c r="P51" s="68"/>
      <c r="Q51" s="68"/>
      <c r="R51" s="68"/>
      <c r="S51" s="72"/>
      <c r="T51" s="72"/>
      <c r="U51" s="72"/>
      <c r="V51" s="72"/>
    </row>
    <row r="52" spans="1:22" s="76" customFormat="1" x14ac:dyDescent="0.2">
      <c r="A52" s="58"/>
      <c r="B52" s="73" t="s">
        <v>10</v>
      </c>
      <c r="C52" s="18">
        <f t="shared" ref="C52" si="25">SUM((C50+C39))</f>
        <v>-3400</v>
      </c>
      <c r="D52" s="163"/>
      <c r="E52" s="18">
        <f t="shared" ref="E52:G52" si="26">SUM((E50+E39))</f>
        <v>-3310</v>
      </c>
      <c r="F52" s="18">
        <f>F50+F39</f>
        <v>-5620.93</v>
      </c>
      <c r="G52" s="18">
        <f t="shared" si="26"/>
        <v>-5181.18</v>
      </c>
      <c r="H52" s="18">
        <f t="shared" ref="H52:J52" si="27">SUM((H50+H39))</f>
        <v>-2710</v>
      </c>
      <c r="I52" s="18">
        <f t="shared" si="27"/>
        <v>-6185.6100000000006</v>
      </c>
      <c r="J52" s="18">
        <f t="shared" si="27"/>
        <v>-2360</v>
      </c>
      <c r="K52" s="18">
        <f t="shared" ref="K52" si="28">SUM((K50+K39))</f>
        <v>-3900.4799999999996</v>
      </c>
      <c r="L52" s="74">
        <f>SUM((L50+L39))</f>
        <v>-2030</v>
      </c>
      <c r="M52" s="18">
        <f t="shared" ref="M52" si="29">SUM((M50+M39))</f>
        <v>-3623.3500000000008</v>
      </c>
      <c r="N52" s="74">
        <f>SUM((N50+N39))</f>
        <v>-3400</v>
      </c>
      <c r="O52" s="74">
        <f>SUM((O50+O39))</f>
        <v>-7008.55</v>
      </c>
      <c r="P52" s="74">
        <f>SUM((P50+P39))</f>
        <v>-3250</v>
      </c>
      <c r="Q52" s="74">
        <f>SUM((Q39+Q50))</f>
        <v>-1702.33</v>
      </c>
      <c r="R52" s="74">
        <f>SUM(R39,R50)</f>
        <v>-2500</v>
      </c>
      <c r="S52" s="75">
        <v>-2498.58</v>
      </c>
      <c r="T52" s="75">
        <v>-600</v>
      </c>
      <c r="U52" s="75">
        <v>-2662.09</v>
      </c>
      <c r="V52" s="75">
        <v>-2597.1</v>
      </c>
    </row>
    <row r="53" spans="1:22" ht="13.5" customHeight="1" thickBo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128"/>
      <c r="K53" s="38"/>
      <c r="L53" s="67"/>
      <c r="M53" s="129"/>
      <c r="N53" s="68"/>
      <c r="O53" s="61"/>
      <c r="P53" s="68"/>
      <c r="Q53" s="68"/>
      <c r="R53" s="68"/>
      <c r="S53" s="72"/>
      <c r="T53" s="72"/>
      <c r="U53" s="72"/>
      <c r="V53" s="72"/>
    </row>
    <row r="54" spans="1:22" ht="13.5" thickTop="1" x14ac:dyDescent="0.2">
      <c r="A54" s="60"/>
      <c r="B54" s="137" t="s">
        <v>22</v>
      </c>
      <c r="C54" s="16">
        <f>SUM(((C52+C31)+C15))</f>
        <v>1400</v>
      </c>
      <c r="D54" s="137"/>
      <c r="E54" s="16">
        <f>SUM(((E52+E31)+E15))</f>
        <v>490</v>
      </c>
      <c r="F54" s="16">
        <f>F52+F31+F15</f>
        <v>-10637.45</v>
      </c>
      <c r="G54" s="16">
        <f>SUM(((G52+G31)+G15))</f>
        <v>-2817.8600000000015</v>
      </c>
      <c r="H54" s="16">
        <f>SUM(((H52+H31)+H15))</f>
        <v>-2410</v>
      </c>
      <c r="I54" s="16">
        <f>SUM(((I52+I31)+I15))</f>
        <v>2592.1099999999997</v>
      </c>
      <c r="J54" s="16">
        <f>SUM(((J52+J31)+J15))</f>
        <v>-60</v>
      </c>
      <c r="K54" s="135">
        <f>SUM(K15+K31+K52)</f>
        <v>-1217.7099999999996</v>
      </c>
      <c r="L54" s="79">
        <f t="shared" ref="L54:Q54" si="30">SUM(((L52+L31)+L15))</f>
        <v>70</v>
      </c>
      <c r="M54" s="16">
        <f t="shared" si="30"/>
        <v>2740.3199999999993</v>
      </c>
      <c r="N54" s="79">
        <f t="shared" si="30"/>
        <v>-2700</v>
      </c>
      <c r="O54" s="79">
        <f t="shared" si="30"/>
        <v>-5678.7799999999988</v>
      </c>
      <c r="P54" s="79">
        <f t="shared" si="30"/>
        <v>-1350</v>
      </c>
      <c r="Q54" s="79">
        <f t="shared" si="30"/>
        <v>23.520000000000437</v>
      </c>
      <c r="R54" s="70">
        <f>SUM(R15,R31,R52)</f>
        <v>-900</v>
      </c>
      <c r="S54" s="71">
        <v>-657.1</v>
      </c>
      <c r="T54" s="71">
        <v>1400</v>
      </c>
      <c r="U54" s="71">
        <v>382.59</v>
      </c>
      <c r="V54" s="71">
        <v>-156.32</v>
      </c>
    </row>
    <row r="55" spans="1:22" x14ac:dyDescent="0.2">
      <c r="A55" s="60"/>
      <c r="B55" s="60"/>
      <c r="C55" s="60"/>
      <c r="D55" s="60"/>
      <c r="E55" s="60"/>
      <c r="F55" s="60"/>
      <c r="G55" s="60"/>
      <c r="H55" s="60"/>
      <c r="I55" s="60"/>
      <c r="J55" s="128"/>
      <c r="K55" s="38"/>
      <c r="L55" s="61"/>
      <c r="M55" s="128"/>
      <c r="N55" s="61"/>
      <c r="O55" s="61"/>
      <c r="P55" s="61"/>
      <c r="Q55" s="61"/>
      <c r="R55" s="61"/>
      <c r="S55" s="60"/>
      <c r="T55" s="60"/>
      <c r="U55" s="60"/>
      <c r="V55" s="60"/>
    </row>
    <row r="56" spans="1:22" x14ac:dyDescent="0.2">
      <c r="A56" s="168" t="s">
        <v>23</v>
      </c>
      <c r="B56" s="168"/>
      <c r="C56" s="60" t="s">
        <v>129</v>
      </c>
      <c r="D56" s="161"/>
      <c r="E56" s="60" t="s">
        <v>124</v>
      </c>
      <c r="F56" s="60"/>
      <c r="G56" s="60" t="s">
        <v>125</v>
      </c>
      <c r="H56" s="60" t="s">
        <v>115</v>
      </c>
      <c r="I56" s="60" t="s">
        <v>116</v>
      </c>
      <c r="J56" s="128" t="str">
        <f>J3</f>
        <v>TA2015</v>
      </c>
      <c r="K56" s="38" t="s">
        <v>50</v>
      </c>
      <c r="L56" s="61" t="s">
        <v>51</v>
      </c>
      <c r="M56" s="128" t="s">
        <v>41</v>
      </c>
      <c r="N56" s="61" t="s">
        <v>67</v>
      </c>
      <c r="O56" s="61" t="s">
        <v>68</v>
      </c>
      <c r="P56" s="63" t="s">
        <v>69</v>
      </c>
      <c r="Q56" s="63" t="s">
        <v>70</v>
      </c>
      <c r="R56" s="61" t="s">
        <v>71</v>
      </c>
      <c r="S56" s="60" t="s">
        <v>72</v>
      </c>
      <c r="T56" s="60" t="s">
        <v>73</v>
      </c>
      <c r="U56" s="60" t="s">
        <v>74</v>
      </c>
      <c r="V56" s="60" t="s">
        <v>75</v>
      </c>
    </row>
    <row r="57" spans="1:22" x14ac:dyDescent="0.2">
      <c r="A57" s="60"/>
      <c r="B57" s="60"/>
      <c r="C57" s="60"/>
      <c r="D57" s="60"/>
      <c r="E57" s="60"/>
      <c r="F57" s="60"/>
      <c r="G57" s="60"/>
      <c r="H57" s="60"/>
      <c r="I57" s="60"/>
      <c r="J57" s="128"/>
      <c r="K57" s="38"/>
      <c r="L57" s="61"/>
      <c r="M57" s="128"/>
      <c r="N57" s="61"/>
      <c r="O57" s="61"/>
      <c r="P57" s="61"/>
      <c r="Q57" s="61"/>
      <c r="R57" s="61"/>
      <c r="S57" s="60"/>
      <c r="T57" s="60"/>
      <c r="U57" s="60"/>
      <c r="V57" s="60"/>
    </row>
    <row r="58" spans="1:22" x14ac:dyDescent="0.2">
      <c r="A58" s="60"/>
      <c r="B58" s="60" t="s">
        <v>2</v>
      </c>
      <c r="C58" s="60"/>
      <c r="D58" s="60"/>
      <c r="E58" s="60"/>
      <c r="F58" s="60"/>
      <c r="G58" s="60"/>
      <c r="H58" s="60"/>
      <c r="I58" s="60"/>
      <c r="J58" s="128"/>
      <c r="K58" s="43"/>
      <c r="L58" s="61"/>
      <c r="M58" s="128"/>
      <c r="N58" s="61"/>
      <c r="O58" s="61"/>
      <c r="P58" s="61"/>
      <c r="Q58" s="61"/>
      <c r="R58" s="61"/>
      <c r="S58" s="60"/>
      <c r="T58" s="60"/>
      <c r="U58" s="60"/>
      <c r="V58" s="60"/>
    </row>
    <row r="59" spans="1:22" x14ac:dyDescent="0.2">
      <c r="A59" s="64">
        <v>5000</v>
      </c>
      <c r="B59" s="60" t="s">
        <v>24</v>
      </c>
      <c r="C59" s="61">
        <v>300</v>
      </c>
      <c r="D59" s="60"/>
      <c r="E59" s="61">
        <v>300</v>
      </c>
      <c r="F59" s="61">
        <v>422</v>
      </c>
      <c r="G59" s="61">
        <v>350</v>
      </c>
      <c r="H59" s="61">
        <v>300</v>
      </c>
      <c r="I59" s="61">
        <v>312</v>
      </c>
      <c r="J59" s="128">
        <v>300</v>
      </c>
      <c r="K59" s="141">
        <v>332</v>
      </c>
      <c r="L59" s="61">
        <v>300</v>
      </c>
      <c r="M59" s="128">
        <v>312</v>
      </c>
      <c r="N59" s="61">
        <v>300</v>
      </c>
      <c r="O59" s="61">
        <v>272</v>
      </c>
      <c r="P59" s="61">
        <v>400</v>
      </c>
      <c r="Q59" s="61">
        <v>280</v>
      </c>
      <c r="R59" s="61">
        <v>450</v>
      </c>
      <c r="S59" s="142">
        <v>148</v>
      </c>
      <c r="T59" s="142">
        <v>500</v>
      </c>
      <c r="U59" s="142">
        <v>459</v>
      </c>
      <c r="V59" s="142">
        <v>410.2</v>
      </c>
    </row>
    <row r="60" spans="1:22" x14ac:dyDescent="0.2">
      <c r="A60" s="64">
        <v>5200</v>
      </c>
      <c r="B60" s="60" t="s">
        <v>25</v>
      </c>
      <c r="C60" s="61">
        <v>1000</v>
      </c>
      <c r="D60" s="60"/>
      <c r="E60" s="61">
        <v>1000</v>
      </c>
      <c r="F60" s="61">
        <v>1848.91</v>
      </c>
      <c r="G60" s="61">
        <v>455.93</v>
      </c>
      <c r="H60" s="61">
        <v>2000</v>
      </c>
      <c r="I60" s="61">
        <v>3603.55</v>
      </c>
      <c r="J60" s="128">
        <v>2200</v>
      </c>
      <c r="K60" s="141">
        <v>3068.4</v>
      </c>
      <c r="L60" s="61">
        <v>2000</v>
      </c>
      <c r="M60" s="128">
        <v>1828</v>
      </c>
      <c r="N60" s="61">
        <v>2000</v>
      </c>
      <c r="O60" s="61">
        <v>4556</v>
      </c>
      <c r="P60" s="61">
        <v>2000</v>
      </c>
      <c r="Q60" s="61">
        <v>3303.2</v>
      </c>
      <c r="R60" s="61">
        <v>2300</v>
      </c>
      <c r="S60" s="142">
        <v>2530</v>
      </c>
      <c r="T60" s="142">
        <v>2000</v>
      </c>
      <c r="U60" s="142">
        <v>30</v>
      </c>
      <c r="V60" s="142">
        <v>2307.06</v>
      </c>
    </row>
    <row r="61" spans="1:22" ht="13.5" customHeight="1" thickBot="1" x14ac:dyDescent="0.25">
      <c r="A61" s="64">
        <v>8000</v>
      </c>
      <c r="B61" s="60" t="s">
        <v>26</v>
      </c>
      <c r="C61" s="61">
        <v>0</v>
      </c>
      <c r="D61" s="60"/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128">
        <v>0</v>
      </c>
      <c r="K61" s="141">
        <v>0</v>
      </c>
      <c r="L61" s="67">
        <v>0</v>
      </c>
      <c r="M61" s="129">
        <v>0</v>
      </c>
      <c r="N61" s="68">
        <v>0</v>
      </c>
      <c r="O61" s="61">
        <v>0</v>
      </c>
      <c r="P61" s="68">
        <v>0</v>
      </c>
      <c r="Q61" s="68">
        <v>0</v>
      </c>
      <c r="R61" s="68">
        <v>0</v>
      </c>
      <c r="S61" s="143">
        <v>0</v>
      </c>
      <c r="T61" s="143">
        <v>0</v>
      </c>
      <c r="U61" s="143">
        <v>0</v>
      </c>
      <c r="V61" s="143">
        <v>200</v>
      </c>
    </row>
    <row r="62" spans="1:22" x14ac:dyDescent="0.2">
      <c r="A62" s="60"/>
      <c r="B62" s="60" t="s">
        <v>5</v>
      </c>
      <c r="C62" s="130">
        <v>1300</v>
      </c>
      <c r="D62" s="60"/>
      <c r="E62" s="130">
        <f t="shared" ref="E62:G62" si="31">SUM(E59:E61)</f>
        <v>1300</v>
      </c>
      <c r="F62" s="130">
        <f>SUM(F59:F61)</f>
        <v>2270.91</v>
      </c>
      <c r="G62" s="130">
        <f t="shared" si="31"/>
        <v>805.93000000000006</v>
      </c>
      <c r="H62" s="130">
        <f t="shared" ref="H62:J62" si="32">SUM(H59:H61)</f>
        <v>2300</v>
      </c>
      <c r="I62" s="130">
        <f t="shared" si="32"/>
        <v>3915.55</v>
      </c>
      <c r="J62" s="130">
        <f t="shared" si="32"/>
        <v>2500</v>
      </c>
      <c r="K62" s="130">
        <f t="shared" ref="K62" si="33">SUM(K59:K61)</f>
        <v>3400.4</v>
      </c>
      <c r="L62" s="70">
        <f t="shared" ref="L62:R62" si="34">SUM(L59:L61)</f>
        <v>2300</v>
      </c>
      <c r="M62" s="130">
        <f t="shared" si="34"/>
        <v>2140</v>
      </c>
      <c r="N62" s="70">
        <f t="shared" si="34"/>
        <v>2300</v>
      </c>
      <c r="O62" s="70">
        <f t="shared" si="34"/>
        <v>4828</v>
      </c>
      <c r="P62" s="70">
        <f t="shared" si="34"/>
        <v>2400</v>
      </c>
      <c r="Q62" s="70">
        <f t="shared" si="34"/>
        <v>3583.2</v>
      </c>
      <c r="R62" s="70">
        <f t="shared" si="34"/>
        <v>2750</v>
      </c>
      <c r="S62" s="144">
        <v>2678</v>
      </c>
      <c r="T62" s="144">
        <v>2500</v>
      </c>
      <c r="U62" s="144">
        <v>489</v>
      </c>
      <c r="V62" s="144">
        <v>2917.26</v>
      </c>
    </row>
    <row r="63" spans="1:22" x14ac:dyDescent="0.2">
      <c r="A63" s="60"/>
      <c r="B63" s="78"/>
      <c r="C63" s="78"/>
      <c r="D63" s="78"/>
      <c r="E63" s="78"/>
      <c r="F63" s="78"/>
      <c r="G63" s="78"/>
      <c r="H63" s="78"/>
      <c r="I63" s="78"/>
      <c r="J63" s="17"/>
      <c r="K63" s="45"/>
      <c r="L63" s="80"/>
      <c r="M63" s="17"/>
      <c r="N63" s="80"/>
      <c r="O63" s="80"/>
      <c r="P63" s="80"/>
      <c r="Q63" s="80"/>
      <c r="R63" s="61"/>
      <c r="S63" s="61"/>
      <c r="T63" s="61"/>
      <c r="U63" s="61"/>
      <c r="V63" s="61"/>
    </row>
    <row r="64" spans="1:22" x14ac:dyDescent="0.2">
      <c r="A64" s="60"/>
      <c r="B64" s="60" t="s">
        <v>6</v>
      </c>
      <c r="C64" s="60"/>
      <c r="D64" s="60"/>
      <c r="E64" s="60"/>
      <c r="F64" s="60"/>
      <c r="G64" s="60"/>
      <c r="H64" s="60"/>
      <c r="I64" s="60"/>
      <c r="J64" s="128"/>
      <c r="K64" s="43"/>
      <c r="L64" s="61"/>
      <c r="M64" s="128"/>
      <c r="N64" s="61"/>
      <c r="O64" s="61"/>
      <c r="P64" s="61"/>
      <c r="Q64" s="61"/>
      <c r="R64" s="61"/>
      <c r="S64" s="61"/>
      <c r="T64" s="61"/>
      <c r="U64" s="61"/>
      <c r="V64" s="61"/>
    </row>
    <row r="65" spans="1:22" ht="13.5" customHeight="1" thickBot="1" x14ac:dyDescent="0.25">
      <c r="A65" s="64">
        <v>5210</v>
      </c>
      <c r="B65" s="60" t="s">
        <v>27</v>
      </c>
      <c r="C65" s="61">
        <v>0</v>
      </c>
      <c r="D65" s="60"/>
      <c r="E65" s="61">
        <v>0</v>
      </c>
      <c r="F65" s="61">
        <v>-1361.31</v>
      </c>
      <c r="G65" s="61">
        <v>-245.05</v>
      </c>
      <c r="H65" s="61">
        <v>0</v>
      </c>
      <c r="I65" s="61">
        <v>-1352.77</v>
      </c>
      <c r="J65" s="128">
        <v>0</v>
      </c>
      <c r="K65" s="4">
        <v>-1239.53</v>
      </c>
      <c r="L65" s="67">
        <v>0</v>
      </c>
      <c r="M65" s="129">
        <v>-55.97</v>
      </c>
      <c r="N65" s="68">
        <v>0</v>
      </c>
      <c r="O65" s="61">
        <v>-26.4</v>
      </c>
      <c r="P65" s="68">
        <v>0</v>
      </c>
      <c r="Q65" s="68">
        <v>-104.45</v>
      </c>
      <c r="R65" s="68">
        <v>0</v>
      </c>
      <c r="S65" s="143">
        <v>0</v>
      </c>
      <c r="T65" s="143">
        <v>0</v>
      </c>
      <c r="U65" s="143">
        <v>-36.4</v>
      </c>
      <c r="V65" s="143">
        <v>-50</v>
      </c>
    </row>
    <row r="66" spans="1:22" x14ac:dyDescent="0.2">
      <c r="A66" s="60"/>
      <c r="B66" s="60" t="s">
        <v>9</v>
      </c>
      <c r="C66" s="130">
        <f t="shared" ref="C66" si="35">SUM(C65)</f>
        <v>0</v>
      </c>
      <c r="D66" s="60"/>
      <c r="E66" s="130">
        <f t="shared" ref="E66:G66" si="36">SUM(E65)</f>
        <v>0</v>
      </c>
      <c r="F66" s="130">
        <f>F65</f>
        <v>-1361.31</v>
      </c>
      <c r="G66" s="130">
        <f t="shared" si="36"/>
        <v>-245.05</v>
      </c>
      <c r="H66" s="130">
        <f t="shared" ref="H66:J66" si="37">SUM(H65)</f>
        <v>0</v>
      </c>
      <c r="I66" s="130">
        <f t="shared" si="37"/>
        <v>-1352.77</v>
      </c>
      <c r="J66" s="130">
        <f t="shared" si="37"/>
        <v>0</v>
      </c>
      <c r="K66" s="130">
        <f t="shared" ref="K66" si="38">SUM(K65)</f>
        <v>-1239.53</v>
      </c>
      <c r="L66" s="70">
        <f>SUM(L65)</f>
        <v>0</v>
      </c>
      <c r="M66" s="130">
        <f t="shared" ref="M66" si="39">SUM(M65)</f>
        <v>-55.97</v>
      </c>
      <c r="N66" s="70">
        <f>SUM(N65)</f>
        <v>0</v>
      </c>
      <c r="O66" s="70">
        <f>SUM(O65)</f>
        <v>-26.4</v>
      </c>
      <c r="P66" s="70">
        <f>SUM(P65)</f>
        <v>0</v>
      </c>
      <c r="Q66" s="70">
        <f>SUM(Q65)</f>
        <v>-104.45</v>
      </c>
      <c r="R66" s="70">
        <f>SUM(R65:R65)</f>
        <v>0</v>
      </c>
      <c r="S66" s="144">
        <v>0</v>
      </c>
      <c r="T66" s="144">
        <v>0</v>
      </c>
      <c r="U66" s="144">
        <v>-36.4</v>
      </c>
      <c r="V66" s="144">
        <v>-50</v>
      </c>
    </row>
    <row r="67" spans="1:22" ht="13.5" thickBot="1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128"/>
      <c r="K67" s="38"/>
      <c r="L67" s="61"/>
      <c r="M67" s="128"/>
      <c r="N67" s="61"/>
      <c r="O67" s="61"/>
      <c r="P67" s="61"/>
      <c r="Q67" s="61"/>
      <c r="R67" s="61"/>
      <c r="S67" s="60"/>
      <c r="T67" s="60"/>
      <c r="U67" s="60"/>
      <c r="V67" s="60"/>
    </row>
    <row r="68" spans="1:22" x14ac:dyDescent="0.2">
      <c r="A68" s="60"/>
      <c r="B68" s="137" t="s">
        <v>28</v>
      </c>
      <c r="C68" s="16">
        <f t="shared" ref="C68" si="40">C62+C66</f>
        <v>1300</v>
      </c>
      <c r="D68" s="137"/>
      <c r="E68" s="16">
        <f t="shared" ref="E68:G68" si="41">E62+E66</f>
        <v>1300</v>
      </c>
      <c r="F68" s="16">
        <f>F66+F62</f>
        <v>909.59999999999991</v>
      </c>
      <c r="G68" s="16">
        <f t="shared" si="41"/>
        <v>560.88000000000011</v>
      </c>
      <c r="H68" s="16">
        <f t="shared" ref="H68:J68" si="42">H62+H66</f>
        <v>2300</v>
      </c>
      <c r="I68" s="16">
        <f t="shared" si="42"/>
        <v>2562.7800000000002</v>
      </c>
      <c r="J68" s="16">
        <f t="shared" si="42"/>
        <v>2500</v>
      </c>
      <c r="K68" s="16">
        <f t="shared" ref="K68" si="43">K62+K66</f>
        <v>2160.87</v>
      </c>
      <c r="L68" s="79">
        <f>L62+L66</f>
        <v>2300</v>
      </c>
      <c r="M68" s="16">
        <f t="shared" ref="M68" si="44">M62+M66</f>
        <v>2084.0300000000002</v>
      </c>
      <c r="N68" s="79">
        <f>N62+N66</f>
        <v>2300</v>
      </c>
      <c r="O68" s="79">
        <f>O62+O66</f>
        <v>4801.6000000000004</v>
      </c>
      <c r="P68" s="79">
        <f>P62+P66</f>
        <v>2400</v>
      </c>
      <c r="Q68" s="79">
        <f>SUM((Q62+Q66))</f>
        <v>3478.75</v>
      </c>
      <c r="R68" s="70">
        <f>SUM(R62,R66)</f>
        <v>2750</v>
      </c>
      <c r="S68" s="71">
        <v>2678</v>
      </c>
      <c r="T68" s="71">
        <v>2500</v>
      </c>
      <c r="U68" s="71">
        <v>452.6</v>
      </c>
      <c r="V68" s="71">
        <v>2867.26</v>
      </c>
    </row>
    <row r="69" spans="1:22" ht="13.5" customHeight="1" thickBot="1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128"/>
      <c r="K69" s="38"/>
      <c r="L69" s="67"/>
      <c r="M69" s="129"/>
      <c r="N69" s="68"/>
      <c r="O69" s="61"/>
      <c r="P69" s="68"/>
      <c r="Q69" s="68"/>
      <c r="R69" s="68"/>
      <c r="S69" s="72"/>
      <c r="T69" s="72"/>
      <c r="U69" s="72"/>
      <c r="V69" s="72"/>
    </row>
    <row r="70" spans="1:22" x14ac:dyDescent="0.2">
      <c r="A70" s="168" t="s">
        <v>29</v>
      </c>
      <c r="B70" s="168"/>
      <c r="C70" s="18">
        <f t="shared" ref="C70" si="45">SUM((C54+C68))</f>
        <v>2700</v>
      </c>
      <c r="D70" s="161"/>
      <c r="E70" s="18">
        <f t="shared" ref="E70:G70" si="46">SUM((E54+E68))</f>
        <v>1790</v>
      </c>
      <c r="F70" s="18">
        <f>F68+F54</f>
        <v>-9727.85</v>
      </c>
      <c r="G70" s="18">
        <f t="shared" si="46"/>
        <v>-2256.9800000000014</v>
      </c>
      <c r="H70" s="18">
        <f t="shared" ref="H70:J70" si="47">SUM((H54+H68))</f>
        <v>-110</v>
      </c>
      <c r="I70" s="18">
        <f t="shared" si="47"/>
        <v>5154.8899999999994</v>
      </c>
      <c r="J70" s="18">
        <f t="shared" si="47"/>
        <v>2440</v>
      </c>
      <c r="K70" s="18">
        <f t="shared" ref="K70" si="48">SUM((K54+K68))</f>
        <v>943.16000000000031</v>
      </c>
      <c r="L70" s="74">
        <f>SUM((L54+L68))</f>
        <v>2370</v>
      </c>
      <c r="M70" s="18">
        <f t="shared" ref="M70" si="49">SUM((M54+M68))</f>
        <v>4824.3499999999995</v>
      </c>
      <c r="N70" s="74">
        <f>SUM((N54+N68))</f>
        <v>-400</v>
      </c>
      <c r="O70" s="74">
        <f>SUM((O54+O68))</f>
        <v>-877.17999999999847</v>
      </c>
      <c r="P70" s="74">
        <f>SUM((P54+P68))</f>
        <v>1050</v>
      </c>
      <c r="Q70" s="74">
        <f>SUM((Q54+Q68))</f>
        <v>3502.2700000000004</v>
      </c>
      <c r="R70" s="74">
        <f>SUM(R68,R54)</f>
        <v>1850</v>
      </c>
      <c r="S70" s="75">
        <v>2020.9</v>
      </c>
      <c r="T70" s="75">
        <v>3900</v>
      </c>
      <c r="U70" s="75">
        <v>835.19</v>
      </c>
      <c r="V70" s="75">
        <v>2710.94</v>
      </c>
    </row>
    <row r="71" spans="1:22" x14ac:dyDescent="0.2">
      <c r="A71" s="60"/>
      <c r="B71" s="60"/>
      <c r="C71" s="60"/>
      <c r="D71" s="60"/>
      <c r="E71" s="60"/>
      <c r="F71" s="60"/>
      <c r="G71" s="60"/>
      <c r="H71" s="60"/>
      <c r="I71" s="60"/>
      <c r="J71" s="128"/>
      <c r="K71" s="38"/>
      <c r="L71" s="61"/>
      <c r="M71" s="128"/>
      <c r="N71" s="61"/>
      <c r="O71" s="61"/>
      <c r="P71" s="61"/>
      <c r="Q71" s="61"/>
      <c r="R71" s="61"/>
      <c r="S71" s="60"/>
      <c r="T71" s="60"/>
      <c r="U71" s="60"/>
      <c r="V71" s="60"/>
    </row>
    <row r="72" spans="1:22" x14ac:dyDescent="0.2">
      <c r="A72" s="168" t="s">
        <v>80</v>
      </c>
      <c r="B72" s="168"/>
      <c r="C72" s="60" t="s">
        <v>129</v>
      </c>
      <c r="D72" s="161"/>
      <c r="E72" s="60" t="s">
        <v>124</v>
      </c>
      <c r="F72" s="60" t="s">
        <v>125</v>
      </c>
      <c r="G72" s="60" t="s">
        <v>125</v>
      </c>
      <c r="H72" s="60" t="s">
        <v>115</v>
      </c>
      <c r="I72" s="60" t="s">
        <v>116</v>
      </c>
      <c r="J72" s="128" t="str">
        <f>J3</f>
        <v>TA2015</v>
      </c>
      <c r="K72" s="38" t="s">
        <v>50</v>
      </c>
      <c r="L72" s="62" t="s">
        <v>51</v>
      </c>
      <c r="M72" s="127" t="s">
        <v>41</v>
      </c>
      <c r="N72" s="62" t="s">
        <v>67</v>
      </c>
      <c r="O72" s="61" t="s">
        <v>68</v>
      </c>
      <c r="P72" s="63" t="s">
        <v>69</v>
      </c>
      <c r="Q72" s="63" t="s">
        <v>70</v>
      </c>
      <c r="R72" s="61" t="s">
        <v>71</v>
      </c>
      <c r="S72" s="60" t="s">
        <v>72</v>
      </c>
      <c r="T72" s="60" t="s">
        <v>73</v>
      </c>
      <c r="U72" s="60" t="s">
        <v>74</v>
      </c>
      <c r="V72" s="60" t="s">
        <v>75</v>
      </c>
    </row>
    <row r="73" spans="1:22" x14ac:dyDescent="0.2">
      <c r="A73" s="60"/>
      <c r="B73" s="60"/>
      <c r="C73" s="60"/>
      <c r="D73" s="60"/>
      <c r="E73" s="60"/>
      <c r="F73" s="60"/>
      <c r="G73" s="60"/>
      <c r="H73" s="60"/>
      <c r="I73" s="60"/>
      <c r="J73" s="128"/>
      <c r="K73" s="46"/>
      <c r="L73" s="61"/>
      <c r="M73" s="128"/>
      <c r="N73" s="61"/>
      <c r="O73" s="61"/>
      <c r="P73" s="61"/>
      <c r="Q73" s="61"/>
      <c r="R73" s="61"/>
      <c r="S73" s="60"/>
      <c r="T73" s="60"/>
      <c r="U73" s="60"/>
      <c r="V73" s="60"/>
    </row>
    <row r="74" spans="1:22" x14ac:dyDescent="0.2">
      <c r="A74" s="60"/>
      <c r="B74" s="60" t="s">
        <v>2</v>
      </c>
      <c r="C74" s="60"/>
      <c r="D74" s="60"/>
      <c r="E74" s="60"/>
      <c r="F74" s="60"/>
      <c r="G74" s="60"/>
      <c r="H74" s="60"/>
      <c r="I74" s="60"/>
      <c r="J74" s="128"/>
      <c r="K74" s="43"/>
      <c r="L74" s="61"/>
      <c r="M74" s="128"/>
      <c r="N74" s="61"/>
      <c r="O74" s="61"/>
      <c r="P74" s="61"/>
      <c r="Q74" s="61"/>
      <c r="R74" s="61"/>
      <c r="S74" s="60"/>
      <c r="T74" s="60"/>
      <c r="U74" s="60"/>
      <c r="V74" s="60"/>
    </row>
    <row r="75" spans="1:22" ht="13.5" customHeight="1" thickBot="1" x14ac:dyDescent="0.25">
      <c r="A75" s="64">
        <v>6100</v>
      </c>
      <c r="B75" s="60" t="s">
        <v>30</v>
      </c>
      <c r="C75" s="61">
        <v>0</v>
      </c>
      <c r="D75" s="60"/>
      <c r="E75" s="61">
        <v>0</v>
      </c>
      <c r="F75" s="61">
        <v>1.58</v>
      </c>
      <c r="G75" s="61">
        <v>1.58</v>
      </c>
      <c r="H75" s="61">
        <v>0</v>
      </c>
      <c r="I75" s="61">
        <v>1.43</v>
      </c>
      <c r="J75" s="128">
        <v>0</v>
      </c>
      <c r="K75" s="4">
        <v>1.45</v>
      </c>
      <c r="L75" s="67">
        <v>0</v>
      </c>
      <c r="M75" s="129">
        <v>1.86</v>
      </c>
      <c r="N75" s="68">
        <v>0</v>
      </c>
      <c r="O75" s="61">
        <v>3.01</v>
      </c>
      <c r="P75" s="68">
        <v>0</v>
      </c>
      <c r="Q75" s="68">
        <v>3.08</v>
      </c>
      <c r="R75" s="68">
        <v>0</v>
      </c>
      <c r="S75" s="143">
        <v>2.14</v>
      </c>
      <c r="T75" s="143">
        <v>0</v>
      </c>
      <c r="U75" s="143">
        <v>1.5</v>
      </c>
      <c r="V75" s="143">
        <v>1.87</v>
      </c>
    </row>
    <row r="76" spans="1:22" x14ac:dyDescent="0.2">
      <c r="A76" s="60"/>
      <c r="B76" s="60" t="s">
        <v>5</v>
      </c>
      <c r="C76" s="130">
        <f t="shared" ref="C76" si="50">SUM(C75)</f>
        <v>0</v>
      </c>
      <c r="D76" s="60"/>
      <c r="E76" s="130">
        <f t="shared" ref="E76:G76" si="51">SUM(E75)</f>
        <v>0</v>
      </c>
      <c r="F76" s="130">
        <f>F75</f>
        <v>1.58</v>
      </c>
      <c r="G76" s="130">
        <f t="shared" si="51"/>
        <v>1.58</v>
      </c>
      <c r="H76" s="130">
        <f t="shared" ref="H76:J76" si="52">SUM(H75)</f>
        <v>0</v>
      </c>
      <c r="I76" s="130">
        <f t="shared" si="52"/>
        <v>1.43</v>
      </c>
      <c r="J76" s="130">
        <f t="shared" si="52"/>
        <v>0</v>
      </c>
      <c r="K76" s="130">
        <f t="shared" ref="K76" si="53">SUM(K75)</f>
        <v>1.45</v>
      </c>
      <c r="L76" s="70">
        <f t="shared" ref="L76:R76" si="54">SUM(L75)</f>
        <v>0</v>
      </c>
      <c r="M76" s="130">
        <f t="shared" si="54"/>
        <v>1.86</v>
      </c>
      <c r="N76" s="70">
        <f t="shared" si="54"/>
        <v>0</v>
      </c>
      <c r="O76" s="70">
        <f t="shared" si="54"/>
        <v>3.01</v>
      </c>
      <c r="P76" s="70">
        <f t="shared" si="54"/>
        <v>0</v>
      </c>
      <c r="Q76" s="70">
        <f t="shared" si="54"/>
        <v>3.08</v>
      </c>
      <c r="R76" s="70">
        <f t="shared" si="54"/>
        <v>0</v>
      </c>
      <c r="S76" s="144">
        <v>2.14</v>
      </c>
      <c r="T76" s="144">
        <v>0</v>
      </c>
      <c r="U76" s="144">
        <v>1.5</v>
      </c>
      <c r="V76" s="144">
        <v>1.87</v>
      </c>
    </row>
    <row r="77" spans="1:22" x14ac:dyDescent="0.2">
      <c r="A77" s="60"/>
      <c r="B77" s="60"/>
      <c r="C77" s="60"/>
      <c r="D77" s="60"/>
      <c r="E77" s="60"/>
      <c r="F77" s="60"/>
      <c r="G77" s="60"/>
      <c r="H77" s="60"/>
      <c r="I77" s="60"/>
      <c r="J77" s="128"/>
      <c r="K77" s="4"/>
      <c r="L77" s="61"/>
      <c r="M77" s="128"/>
      <c r="N77" s="61"/>
      <c r="O77" s="61"/>
      <c r="P77" s="61"/>
      <c r="Q77" s="61"/>
      <c r="R77" s="61"/>
      <c r="S77" s="61"/>
      <c r="T77" s="61"/>
      <c r="U77" s="61"/>
      <c r="V77" s="61"/>
    </row>
    <row r="78" spans="1:22" x14ac:dyDescent="0.2">
      <c r="A78" s="58"/>
      <c r="B78" s="58" t="s">
        <v>6</v>
      </c>
      <c r="C78" s="161"/>
      <c r="D78" s="161"/>
      <c r="E78" s="155"/>
      <c r="F78" s="156"/>
      <c r="G78" s="155"/>
      <c r="H78" s="134"/>
      <c r="I78" s="146"/>
      <c r="J78" s="132"/>
      <c r="K78" s="12"/>
      <c r="L78" s="61"/>
      <c r="M78" s="132"/>
      <c r="N78" s="59"/>
      <c r="O78" s="59"/>
      <c r="P78" s="59"/>
      <c r="Q78" s="59"/>
      <c r="R78" s="61"/>
      <c r="S78" s="61"/>
      <c r="T78" s="61"/>
      <c r="U78" s="61"/>
      <c r="V78" s="61"/>
    </row>
    <row r="79" spans="1:22" ht="13.5" customHeight="1" thickBot="1" x14ac:dyDescent="0.25">
      <c r="A79" s="64">
        <v>6200</v>
      </c>
      <c r="B79" s="60" t="s">
        <v>32</v>
      </c>
      <c r="C79" s="61">
        <v>0</v>
      </c>
      <c r="D79" s="60"/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128">
        <v>0</v>
      </c>
      <c r="K79" s="4">
        <v>-2.5</v>
      </c>
      <c r="L79" s="67">
        <v>0</v>
      </c>
      <c r="M79" s="129">
        <v>-25.85</v>
      </c>
      <c r="N79" s="68">
        <v>0</v>
      </c>
      <c r="O79" s="61">
        <v>0</v>
      </c>
      <c r="P79" s="68">
        <v>0</v>
      </c>
      <c r="Q79" s="68">
        <v>0</v>
      </c>
      <c r="R79" s="68">
        <v>-20</v>
      </c>
      <c r="S79" s="143">
        <v>-5.7</v>
      </c>
      <c r="T79" s="143">
        <v>0</v>
      </c>
      <c r="U79" s="143">
        <v>0</v>
      </c>
      <c r="V79" s="143">
        <v>0</v>
      </c>
    </row>
    <row r="80" spans="1:22" x14ac:dyDescent="0.2">
      <c r="A80" s="58"/>
      <c r="B80" s="58" t="s">
        <v>9</v>
      </c>
      <c r="C80" s="130">
        <f>C79</f>
        <v>0</v>
      </c>
      <c r="D80" s="161"/>
      <c r="E80" s="130">
        <f>E79</f>
        <v>0</v>
      </c>
      <c r="F80" s="130">
        <v>0</v>
      </c>
      <c r="G80" s="130">
        <f>G79</f>
        <v>0</v>
      </c>
      <c r="H80" s="130">
        <f>H79</f>
        <v>0</v>
      </c>
      <c r="I80" s="130">
        <f>I79</f>
        <v>0</v>
      </c>
      <c r="J80" s="130">
        <f>J79</f>
        <v>0</v>
      </c>
      <c r="K80" s="130">
        <f t="shared" ref="K80:V80" si="55">K79</f>
        <v>-2.5</v>
      </c>
      <c r="L80" s="130">
        <f t="shared" si="55"/>
        <v>0</v>
      </c>
      <c r="M80" s="130">
        <f t="shared" si="55"/>
        <v>-25.85</v>
      </c>
      <c r="N80" s="130">
        <f t="shared" si="55"/>
        <v>0</v>
      </c>
      <c r="O80" s="130">
        <f t="shared" si="55"/>
        <v>0</v>
      </c>
      <c r="P80" s="130">
        <f t="shared" si="55"/>
        <v>0</v>
      </c>
      <c r="Q80" s="130">
        <f t="shared" si="55"/>
        <v>0</v>
      </c>
      <c r="R80" s="130">
        <f t="shared" si="55"/>
        <v>-20</v>
      </c>
      <c r="S80" s="130">
        <f t="shared" si="55"/>
        <v>-5.7</v>
      </c>
      <c r="T80" s="130">
        <f t="shared" si="55"/>
        <v>0</v>
      </c>
      <c r="U80" s="130">
        <f t="shared" si="55"/>
        <v>0</v>
      </c>
      <c r="V80" s="130">
        <f t="shared" si="55"/>
        <v>0</v>
      </c>
    </row>
    <row r="81" spans="1:23" ht="13.5" customHeight="1" thickBot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128"/>
      <c r="K81" s="38"/>
      <c r="L81" s="67"/>
      <c r="M81" s="129"/>
      <c r="N81" s="68"/>
      <c r="O81" s="61"/>
      <c r="P81" s="68"/>
      <c r="Q81" s="68"/>
      <c r="R81" s="68"/>
      <c r="S81" s="72"/>
      <c r="T81" s="72"/>
      <c r="U81" s="72"/>
      <c r="V81" s="72"/>
    </row>
    <row r="82" spans="1:23" x14ac:dyDescent="0.2">
      <c r="A82" s="60"/>
      <c r="B82" s="137" t="s">
        <v>81</v>
      </c>
      <c r="C82" s="16">
        <f t="shared" ref="C82" si="56">SUM((C80+C76))</f>
        <v>0</v>
      </c>
      <c r="D82" s="137"/>
      <c r="E82" s="16">
        <f t="shared" ref="E82:G82" si="57">SUM((E80+E76))</f>
        <v>0</v>
      </c>
      <c r="F82" s="16">
        <f>F76</f>
        <v>1.58</v>
      </c>
      <c r="G82" s="16">
        <f t="shared" si="57"/>
        <v>1.58</v>
      </c>
      <c r="H82" s="16">
        <f t="shared" ref="H82:Q82" si="58">SUM((H80+H76))</f>
        <v>0</v>
      </c>
      <c r="I82" s="16">
        <f t="shared" si="58"/>
        <v>1.43</v>
      </c>
      <c r="J82" s="16">
        <f t="shared" si="58"/>
        <v>0</v>
      </c>
      <c r="K82" s="16">
        <f t="shared" si="58"/>
        <v>-1.05</v>
      </c>
      <c r="L82" s="79">
        <f t="shared" si="58"/>
        <v>0</v>
      </c>
      <c r="M82" s="16">
        <f t="shared" si="58"/>
        <v>-23.990000000000002</v>
      </c>
      <c r="N82" s="79">
        <f t="shared" si="58"/>
        <v>0</v>
      </c>
      <c r="O82" s="79">
        <f t="shared" si="58"/>
        <v>3.01</v>
      </c>
      <c r="P82" s="79">
        <f t="shared" si="58"/>
        <v>0</v>
      </c>
      <c r="Q82" s="79">
        <f t="shared" si="58"/>
        <v>3.08</v>
      </c>
      <c r="R82" s="70">
        <f>SUM(R80,R76)</f>
        <v>-20</v>
      </c>
      <c r="S82" s="71">
        <v>-4631.0600000000004</v>
      </c>
      <c r="T82" s="71">
        <v>0</v>
      </c>
      <c r="U82" s="71">
        <v>-1149.07</v>
      </c>
      <c r="V82" s="71">
        <v>-1436.35</v>
      </c>
    </row>
    <row r="83" spans="1:23" ht="13.5" customHeight="1" thickBot="1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128"/>
      <c r="K83" s="38"/>
      <c r="L83" s="67"/>
      <c r="M83" s="129"/>
      <c r="N83" s="68"/>
      <c r="O83" s="61"/>
      <c r="P83" s="68"/>
      <c r="Q83" s="68"/>
      <c r="R83" s="68"/>
      <c r="S83" s="72"/>
      <c r="T83" s="72"/>
      <c r="U83" s="72"/>
      <c r="V83" s="72"/>
    </row>
    <row r="84" spans="1:23" x14ac:dyDescent="0.2">
      <c r="A84" s="168" t="s">
        <v>29</v>
      </c>
      <c r="B84" s="168"/>
      <c r="C84" s="18">
        <f t="shared" ref="C84" si="59">C70+C82</f>
        <v>2700</v>
      </c>
      <c r="D84" s="161"/>
      <c r="E84" s="18">
        <f t="shared" ref="E84:G84" si="60">E70+E82</f>
        <v>1790</v>
      </c>
      <c r="F84" s="18">
        <f>F70+F82</f>
        <v>-9726.27</v>
      </c>
      <c r="G84" s="18">
        <f t="shared" si="60"/>
        <v>-2255.4000000000015</v>
      </c>
      <c r="H84" s="18">
        <f t="shared" ref="H84:Q84" si="61">H70+H82</f>
        <v>-110</v>
      </c>
      <c r="I84" s="18">
        <f t="shared" si="61"/>
        <v>5156.32</v>
      </c>
      <c r="J84" s="18">
        <f t="shared" si="61"/>
        <v>2440</v>
      </c>
      <c r="K84" s="18">
        <f t="shared" si="61"/>
        <v>942.11000000000035</v>
      </c>
      <c r="L84" s="74">
        <f t="shared" si="61"/>
        <v>2370</v>
      </c>
      <c r="M84" s="18">
        <f t="shared" si="61"/>
        <v>4800.3599999999997</v>
      </c>
      <c r="N84" s="74">
        <f t="shared" si="61"/>
        <v>-400</v>
      </c>
      <c r="O84" s="74">
        <f t="shared" si="61"/>
        <v>-874.16999999999848</v>
      </c>
      <c r="P84" s="74">
        <f t="shared" si="61"/>
        <v>1050</v>
      </c>
      <c r="Q84" s="74">
        <f t="shared" si="61"/>
        <v>3505.3500000000004</v>
      </c>
      <c r="R84" s="74">
        <f>SUM(R70,R82)</f>
        <v>1830</v>
      </c>
      <c r="S84" s="75">
        <v>-2610.16</v>
      </c>
      <c r="T84" s="75">
        <v>3900</v>
      </c>
      <c r="U84" s="75">
        <v>-313.88</v>
      </c>
      <c r="V84" s="75">
        <v>1274.5899999999999</v>
      </c>
    </row>
    <row r="85" spans="1:23" x14ac:dyDescent="0.2">
      <c r="A85" s="60"/>
      <c r="B85" s="60"/>
      <c r="C85" s="60"/>
      <c r="D85" s="60"/>
      <c r="E85" s="60"/>
      <c r="F85" s="60"/>
      <c r="G85" s="60"/>
      <c r="H85" s="60"/>
      <c r="I85" s="60"/>
      <c r="J85" s="128"/>
      <c r="K85" s="38"/>
      <c r="L85" s="61"/>
      <c r="M85" s="128"/>
      <c r="N85" s="61"/>
      <c r="O85" s="61"/>
      <c r="P85" s="61"/>
      <c r="Q85" s="61"/>
      <c r="R85" s="61"/>
      <c r="S85" s="60"/>
      <c r="T85" s="60"/>
      <c r="U85" s="60"/>
      <c r="V85" s="60"/>
    </row>
    <row r="86" spans="1:23" x14ac:dyDescent="0.2">
      <c r="A86" s="168" t="s">
        <v>82</v>
      </c>
      <c r="B86" s="168"/>
      <c r="C86" s="60" t="s">
        <v>129</v>
      </c>
      <c r="D86" s="161"/>
      <c r="E86" s="60" t="s">
        <v>124</v>
      </c>
      <c r="F86" s="60" t="s">
        <v>125</v>
      </c>
      <c r="G86" s="60" t="s">
        <v>125</v>
      </c>
      <c r="H86" s="60" t="s">
        <v>115</v>
      </c>
      <c r="I86" s="60" t="s">
        <v>116</v>
      </c>
      <c r="J86" s="128" t="str">
        <f>J3</f>
        <v>TA2015</v>
      </c>
      <c r="K86" s="38" t="s">
        <v>50</v>
      </c>
      <c r="L86" s="61" t="s">
        <v>51</v>
      </c>
      <c r="M86" s="128" t="s">
        <v>41</v>
      </c>
      <c r="N86" s="61" t="s">
        <v>67</v>
      </c>
      <c r="O86" s="61" t="s">
        <v>68</v>
      </c>
      <c r="P86" s="63" t="s">
        <v>69</v>
      </c>
      <c r="Q86" s="63" t="s">
        <v>70</v>
      </c>
      <c r="R86" s="61" t="s">
        <v>71</v>
      </c>
      <c r="S86" s="60" t="s">
        <v>72</v>
      </c>
      <c r="T86" s="60" t="s">
        <v>73</v>
      </c>
      <c r="U86" s="60" t="s">
        <v>74</v>
      </c>
      <c r="V86" s="60" t="s">
        <v>75</v>
      </c>
    </row>
    <row r="87" spans="1:23" x14ac:dyDescent="0.2">
      <c r="A87" s="60"/>
      <c r="B87" s="60"/>
      <c r="C87" s="60"/>
      <c r="D87" s="60"/>
      <c r="E87" s="60"/>
      <c r="F87" s="60"/>
      <c r="G87" s="60"/>
      <c r="H87" s="60"/>
      <c r="I87" s="60"/>
      <c r="J87" s="128"/>
      <c r="L87" s="61"/>
      <c r="M87" s="128"/>
      <c r="N87" s="61"/>
      <c r="O87" s="61"/>
      <c r="P87" s="61"/>
      <c r="Q87" s="61"/>
      <c r="R87" s="61"/>
      <c r="S87" s="60"/>
      <c r="T87" s="60"/>
      <c r="U87" s="60"/>
      <c r="V87" s="60"/>
    </row>
    <row r="88" spans="1:23" x14ac:dyDescent="0.2">
      <c r="A88" s="64">
        <v>7000</v>
      </c>
      <c r="B88" s="60" t="s">
        <v>33</v>
      </c>
      <c r="C88" s="61">
        <v>0</v>
      </c>
      <c r="D88" s="60"/>
      <c r="E88" s="61">
        <v>0</v>
      </c>
      <c r="F88" s="61">
        <v>340</v>
      </c>
      <c r="G88" s="61">
        <v>340</v>
      </c>
      <c r="H88" s="61">
        <v>0</v>
      </c>
      <c r="I88" s="61">
        <v>2</v>
      </c>
      <c r="J88" s="128">
        <v>0</v>
      </c>
      <c r="K88" s="4">
        <v>95</v>
      </c>
      <c r="L88" s="61">
        <v>0</v>
      </c>
      <c r="M88" s="128">
        <v>55.5</v>
      </c>
      <c r="N88" s="61">
        <v>0</v>
      </c>
      <c r="O88" s="61">
        <v>200</v>
      </c>
      <c r="P88" s="61">
        <v>0</v>
      </c>
      <c r="Q88" s="61">
        <v>0</v>
      </c>
      <c r="R88" s="61">
        <v>0</v>
      </c>
      <c r="S88" s="142">
        <v>340</v>
      </c>
      <c r="T88" s="142">
        <v>0</v>
      </c>
      <c r="U88" s="142">
        <v>3150.33</v>
      </c>
      <c r="V88" s="142">
        <v>2.1</v>
      </c>
    </row>
    <row r="89" spans="1:23" ht="13.5" customHeight="1" thickBot="1" x14ac:dyDescent="0.25">
      <c r="A89" s="64">
        <v>7100</v>
      </c>
      <c r="B89" s="60" t="s">
        <v>34</v>
      </c>
      <c r="C89" s="61">
        <v>0</v>
      </c>
      <c r="D89" s="60"/>
      <c r="E89" s="61">
        <v>0</v>
      </c>
      <c r="F89" s="61">
        <v>-660.58</v>
      </c>
      <c r="G89" s="61">
        <v>0</v>
      </c>
      <c r="H89" s="61">
        <v>0</v>
      </c>
      <c r="I89" s="61">
        <v>0</v>
      </c>
      <c r="J89" s="128">
        <v>0</v>
      </c>
      <c r="K89" s="4">
        <v>-110.2</v>
      </c>
      <c r="L89" s="67">
        <v>0</v>
      </c>
      <c r="M89" s="129">
        <v>-15.98</v>
      </c>
      <c r="N89" s="68">
        <v>0</v>
      </c>
      <c r="O89" s="61">
        <v>0</v>
      </c>
      <c r="P89" s="68">
        <v>0</v>
      </c>
      <c r="Q89" s="68">
        <v>-32.06</v>
      </c>
      <c r="R89" s="68">
        <v>0</v>
      </c>
      <c r="S89" s="143">
        <v>0</v>
      </c>
      <c r="T89" s="143">
        <v>0</v>
      </c>
      <c r="U89" s="143">
        <v>-36.6</v>
      </c>
      <c r="V89" s="143">
        <v>-6</v>
      </c>
    </row>
    <row r="90" spans="1:23" x14ac:dyDescent="0.2">
      <c r="A90" s="60"/>
      <c r="B90" s="137" t="s">
        <v>83</v>
      </c>
      <c r="C90" s="16">
        <f t="shared" ref="C90" si="62">SUM(C88:C89)</f>
        <v>0</v>
      </c>
      <c r="D90" s="137"/>
      <c r="E90" s="16">
        <f t="shared" ref="E90:G90" si="63">SUM(E88:E89)</f>
        <v>0</v>
      </c>
      <c r="F90" s="16">
        <f>F88+F89</f>
        <v>-320.58000000000004</v>
      </c>
      <c r="G90" s="16">
        <f t="shared" si="63"/>
        <v>340</v>
      </c>
      <c r="H90" s="16">
        <f t="shared" ref="H90:J90" si="64">SUM(H88:H89)</f>
        <v>0</v>
      </c>
      <c r="I90" s="16">
        <f t="shared" si="64"/>
        <v>2</v>
      </c>
      <c r="J90" s="16">
        <f t="shared" si="64"/>
        <v>0</v>
      </c>
      <c r="K90" s="79">
        <f t="shared" ref="K90:R90" si="65">SUM(K88:K89)</f>
        <v>-15.200000000000003</v>
      </c>
      <c r="L90" s="79">
        <f t="shared" si="65"/>
        <v>0</v>
      </c>
      <c r="M90" s="16">
        <f t="shared" si="65"/>
        <v>39.519999999999996</v>
      </c>
      <c r="N90" s="79">
        <f t="shared" si="65"/>
        <v>0</v>
      </c>
      <c r="O90" s="79">
        <f t="shared" si="65"/>
        <v>200</v>
      </c>
      <c r="P90" s="79">
        <f t="shared" si="65"/>
        <v>0</v>
      </c>
      <c r="Q90" s="79">
        <f t="shared" si="65"/>
        <v>-32.06</v>
      </c>
      <c r="R90" s="74">
        <f t="shared" si="65"/>
        <v>0</v>
      </c>
      <c r="S90" s="145">
        <v>340</v>
      </c>
      <c r="T90" s="145">
        <v>0</v>
      </c>
      <c r="U90" s="145">
        <v>3113.73</v>
      </c>
      <c r="V90" s="145">
        <v>-3.9</v>
      </c>
      <c r="W90" s="76"/>
    </row>
    <row r="91" spans="1:23" ht="13.5" customHeight="1" thickBo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128"/>
      <c r="K91" s="4"/>
      <c r="L91" s="67"/>
      <c r="M91" s="129"/>
      <c r="N91" s="68"/>
      <c r="O91" s="61"/>
      <c r="P91" s="68"/>
      <c r="Q91" s="68"/>
      <c r="R91" s="68"/>
      <c r="S91" s="68"/>
      <c r="T91" s="68"/>
      <c r="U91" s="68"/>
      <c r="V91" s="68"/>
    </row>
    <row r="92" spans="1:23" x14ac:dyDescent="0.2">
      <c r="A92" s="169" t="s">
        <v>84</v>
      </c>
      <c r="B92" s="169"/>
      <c r="C92" s="18">
        <f t="shared" ref="C92" si="66">C90+C84</f>
        <v>2700</v>
      </c>
      <c r="D92" s="163"/>
      <c r="E92" s="18">
        <f t="shared" ref="E92:G92" si="67">E90+E84</f>
        <v>1790</v>
      </c>
      <c r="F92" s="18">
        <f>F84+F90</f>
        <v>-10046.85</v>
      </c>
      <c r="G92" s="18">
        <f t="shared" si="67"/>
        <v>-1915.4000000000015</v>
      </c>
      <c r="H92" s="18">
        <f t="shared" ref="H92:J92" si="68">H90+H84</f>
        <v>-110</v>
      </c>
      <c r="I92" s="18">
        <f t="shared" si="68"/>
        <v>5158.32</v>
      </c>
      <c r="J92" s="18">
        <f t="shared" si="68"/>
        <v>2440</v>
      </c>
      <c r="K92" s="74">
        <f>K90+K84</f>
        <v>926.91000000000031</v>
      </c>
      <c r="L92" s="74">
        <f>L90+L84</f>
        <v>2370</v>
      </c>
      <c r="M92" s="18">
        <f t="shared" ref="M92" si="69">M90+M84</f>
        <v>4839.88</v>
      </c>
      <c r="N92" s="74">
        <f>N90+N84</f>
        <v>-400</v>
      </c>
      <c r="O92" s="74">
        <f>O90+O84</f>
        <v>-674.16999999999848</v>
      </c>
      <c r="P92" s="74">
        <f>P90+P84</f>
        <v>1050</v>
      </c>
      <c r="Q92" s="74">
        <f>Q90+Q84</f>
        <v>3473.2900000000004</v>
      </c>
      <c r="R92" s="74">
        <f>SUM(R90,R84)</f>
        <v>1830</v>
      </c>
      <c r="S92" s="145">
        <v>-2270.16</v>
      </c>
      <c r="T92" s="145">
        <v>3900</v>
      </c>
      <c r="U92" s="145">
        <v>2799.85</v>
      </c>
      <c r="V92" s="145">
        <v>1270.69</v>
      </c>
    </row>
    <row r="93" spans="1:23" x14ac:dyDescent="0.2">
      <c r="A93" s="60"/>
      <c r="B93" s="60"/>
      <c r="C93" s="60"/>
      <c r="D93" s="60"/>
      <c r="E93" s="60"/>
      <c r="F93" s="60"/>
      <c r="G93" s="60"/>
      <c r="H93" s="60"/>
      <c r="I93" s="60"/>
      <c r="J93" s="128"/>
      <c r="K93" s="22"/>
      <c r="L93" s="61"/>
      <c r="M93" s="128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2">
      <c r="A94" s="64">
        <v>7200</v>
      </c>
      <c r="B94" s="60" t="s">
        <v>36</v>
      </c>
      <c r="C94" s="61">
        <v>0</v>
      </c>
      <c r="D94" s="60"/>
      <c r="E94" s="61">
        <v>0</v>
      </c>
      <c r="F94" s="61">
        <v>-359.44</v>
      </c>
      <c r="G94" s="157">
        <v>0</v>
      </c>
      <c r="H94" s="61">
        <v>0</v>
      </c>
      <c r="I94" s="61">
        <v>-69.540000000000006</v>
      </c>
      <c r="J94" s="128">
        <v>0</v>
      </c>
      <c r="K94" s="129">
        <v>-101</v>
      </c>
      <c r="L94" s="61">
        <v>0</v>
      </c>
      <c r="M94" s="128">
        <v>-626.07000000000005</v>
      </c>
      <c r="N94" s="61">
        <v>0</v>
      </c>
      <c r="O94" s="61">
        <v>-170.68</v>
      </c>
      <c r="P94" s="61">
        <v>0</v>
      </c>
      <c r="Q94" s="61">
        <v>-4.46</v>
      </c>
      <c r="R94" s="61">
        <v>0</v>
      </c>
      <c r="S94" s="142">
        <v>215.5</v>
      </c>
      <c r="T94" s="61">
        <v>0</v>
      </c>
      <c r="U94" s="142">
        <v>178.37</v>
      </c>
      <c r="V94" s="142">
        <v>16.510000000000002</v>
      </c>
    </row>
    <row r="95" spans="1:23" ht="13.5" customHeight="1" thickBot="1" x14ac:dyDescent="0.25">
      <c r="A95" s="81"/>
      <c r="B95" s="72"/>
      <c r="C95" s="72"/>
      <c r="D95" s="72"/>
      <c r="E95" s="72"/>
      <c r="F95" s="72"/>
      <c r="G95" s="72"/>
      <c r="H95" s="72"/>
      <c r="I95" s="72"/>
      <c r="J95" s="131"/>
      <c r="K95" s="4"/>
      <c r="L95" s="68"/>
      <c r="M95" s="131"/>
      <c r="N95" s="68"/>
      <c r="O95" s="68"/>
      <c r="P95" s="68"/>
      <c r="Q95" s="68"/>
      <c r="R95" s="68"/>
      <c r="S95" s="68"/>
      <c r="T95" s="68"/>
      <c r="U95" s="68"/>
      <c r="V95" s="68"/>
    </row>
    <row r="96" spans="1:23" x14ac:dyDescent="0.2">
      <c r="A96" s="169" t="s">
        <v>37</v>
      </c>
      <c r="B96" s="169"/>
      <c r="C96" s="18">
        <f>(C92+C28)+C94</f>
        <v>2700</v>
      </c>
      <c r="D96" s="163"/>
      <c r="E96" s="18">
        <f>(E92+E28)+E94</f>
        <v>1790</v>
      </c>
      <c r="F96" s="18">
        <f>F92+F94</f>
        <v>-10406.290000000001</v>
      </c>
      <c r="G96" s="18">
        <f>G92+G94</f>
        <v>-1915.4000000000015</v>
      </c>
      <c r="H96" s="18">
        <f>(H92+H28)+H94</f>
        <v>-110</v>
      </c>
      <c r="I96" s="18">
        <f>I92+I94</f>
        <v>5088.78</v>
      </c>
      <c r="J96" s="18">
        <f>(J92+J28)+J94</f>
        <v>2440</v>
      </c>
      <c r="K96" s="74">
        <f>K92+K94</f>
        <v>825.91000000000031</v>
      </c>
      <c r="L96" s="74">
        <f t="shared" ref="L96:Q96" si="70">(L92+L28)+L94</f>
        <v>2370</v>
      </c>
      <c r="M96" s="18">
        <f t="shared" si="70"/>
        <v>3990.77</v>
      </c>
      <c r="N96" s="74">
        <f t="shared" si="70"/>
        <v>-400</v>
      </c>
      <c r="O96" s="74">
        <f t="shared" si="70"/>
        <v>-145.55999999999852</v>
      </c>
      <c r="P96" s="74">
        <f t="shared" si="70"/>
        <v>1050</v>
      </c>
      <c r="Q96" s="74">
        <f t="shared" si="70"/>
        <v>3332.03</v>
      </c>
      <c r="R96" s="74">
        <f>SUM(R92,R28,R94)</f>
        <v>1830</v>
      </c>
      <c r="S96" s="145">
        <v>-1704.56</v>
      </c>
      <c r="T96" s="145">
        <v>3900</v>
      </c>
      <c r="U96" s="145">
        <v>2938.67</v>
      </c>
      <c r="V96" s="145">
        <v>1287.2</v>
      </c>
    </row>
    <row r="97" spans="1:22" x14ac:dyDescent="0.2">
      <c r="A97" s="55"/>
      <c r="B97" s="55"/>
      <c r="C97" s="55"/>
      <c r="D97" s="55"/>
      <c r="E97" s="55"/>
      <c r="F97" s="55"/>
      <c r="G97" s="55"/>
      <c r="H97" s="55"/>
      <c r="I97" s="55"/>
      <c r="K97" s="38"/>
      <c r="L97" s="55"/>
      <c r="M97" s="124"/>
      <c r="N97" s="55"/>
      <c r="O97" s="56"/>
      <c r="P97" s="55"/>
      <c r="Q97" s="56"/>
      <c r="R97" s="55"/>
      <c r="S97" s="55"/>
      <c r="T97" s="55"/>
      <c r="U97" s="55"/>
      <c r="V97" s="55"/>
    </row>
  </sheetData>
  <mergeCells count="11">
    <mergeCell ref="A70:B70"/>
    <mergeCell ref="A1:B1"/>
    <mergeCell ref="A3:B3"/>
    <mergeCell ref="A17:B17"/>
    <mergeCell ref="A33:B33"/>
    <mergeCell ref="A56:B56"/>
    <mergeCell ref="A72:B72"/>
    <mergeCell ref="A84:B84"/>
    <mergeCell ref="A86:B86"/>
    <mergeCell ref="A92:B92"/>
    <mergeCell ref="A96:B9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4"/>
  <sheetViews>
    <sheetView zoomScaleNormal="100" workbookViewId="0">
      <selection activeCell="D5" sqref="D5"/>
    </sheetView>
  </sheetViews>
  <sheetFormatPr defaultColWidth="13.5" defaultRowHeight="12.75" x14ac:dyDescent="0.2"/>
  <cols>
    <col min="1" max="1" width="7.75" style="83" customWidth="1"/>
    <col min="2" max="2" width="5.625" style="83" customWidth="1"/>
    <col min="3" max="3" width="33.625" style="83" customWidth="1"/>
    <col min="4" max="4" width="11.25" style="83" bestFit="1" customWidth="1"/>
    <col min="5" max="5" width="12.125" style="83" bestFit="1" customWidth="1"/>
    <col min="6" max="6" width="12.625" style="83" bestFit="1" customWidth="1"/>
    <col min="7" max="7" width="11.25" style="83" bestFit="1" customWidth="1"/>
    <col min="8" max="8" width="12.375" style="83" bestFit="1" customWidth="1"/>
    <col min="9" max="9" width="11.125" style="83" bestFit="1" customWidth="1"/>
    <col min="10" max="10" width="11.625" style="83" bestFit="1" customWidth="1"/>
    <col min="11" max="11" width="5.625" style="83" customWidth="1"/>
    <col min="12" max="16384" width="13.5" style="83"/>
  </cols>
  <sheetData>
    <row r="2" spans="2:11" x14ac:dyDescent="0.2">
      <c r="B2" s="120"/>
      <c r="C2" s="119"/>
      <c r="D2" s="119"/>
      <c r="E2" s="119"/>
      <c r="F2" s="119"/>
      <c r="G2" s="119"/>
      <c r="H2" s="119"/>
      <c r="I2" s="119"/>
      <c r="J2" s="119"/>
      <c r="K2" s="118"/>
    </row>
    <row r="3" spans="2:11" ht="16.5" thickBot="1" x14ac:dyDescent="0.3">
      <c r="B3" s="99"/>
      <c r="C3" s="117" t="s">
        <v>113</v>
      </c>
      <c r="D3" s="116"/>
      <c r="E3" s="112"/>
      <c r="F3" s="112"/>
      <c r="G3" s="112"/>
      <c r="H3" s="112"/>
      <c r="I3" s="112"/>
      <c r="J3" s="112"/>
      <c r="K3" s="91"/>
    </row>
    <row r="4" spans="2:11" x14ac:dyDescent="0.2">
      <c r="B4" s="99"/>
      <c r="C4" s="115" t="s">
        <v>112</v>
      </c>
      <c r="D4" s="114">
        <v>2017</v>
      </c>
      <c r="E4" s="113" t="s">
        <v>111</v>
      </c>
      <c r="F4" s="112"/>
      <c r="G4" s="112"/>
      <c r="H4" s="112"/>
      <c r="I4" s="112"/>
      <c r="J4" s="112"/>
      <c r="K4" s="91"/>
    </row>
    <row r="5" spans="2:11" x14ac:dyDescent="0.2">
      <c r="B5" s="99"/>
      <c r="C5" s="112"/>
      <c r="D5" s="112"/>
      <c r="E5" s="112"/>
      <c r="F5" s="112"/>
      <c r="G5" s="112"/>
      <c r="H5" s="112"/>
      <c r="I5" s="112"/>
      <c r="J5" s="112"/>
      <c r="K5" s="91"/>
    </row>
    <row r="6" spans="2:11" ht="13.5" thickBot="1" x14ac:dyDescent="0.25">
      <c r="B6" s="99"/>
      <c r="C6" s="111" t="s">
        <v>110</v>
      </c>
      <c r="D6" s="111"/>
      <c r="E6" s="111" t="s">
        <v>109</v>
      </c>
      <c r="F6" s="111" t="s">
        <v>108</v>
      </c>
      <c r="G6" s="111" t="s">
        <v>107</v>
      </c>
      <c r="H6" s="111" t="s">
        <v>106</v>
      </c>
      <c r="I6" s="111" t="s">
        <v>105</v>
      </c>
      <c r="J6" s="111" t="s">
        <v>104</v>
      </c>
      <c r="K6" s="91"/>
    </row>
    <row r="7" spans="2:11" ht="13.5" thickTop="1" x14ac:dyDescent="0.2">
      <c r="B7" s="99"/>
      <c r="C7" s="110" t="s">
        <v>103</v>
      </c>
      <c r="D7" s="121"/>
      <c r="E7" s="108"/>
      <c r="F7" s="109"/>
      <c r="G7" s="109"/>
      <c r="H7" s="109"/>
      <c r="I7" s="109"/>
      <c r="J7" s="108"/>
      <c r="K7" s="91"/>
    </row>
    <row r="8" spans="2:11" x14ac:dyDescent="0.2">
      <c r="B8" s="99"/>
      <c r="C8" s="106"/>
      <c r="D8" s="122"/>
      <c r="E8" s="105"/>
      <c r="F8" s="102"/>
      <c r="G8" s="102"/>
      <c r="H8" s="101"/>
      <c r="I8" s="101"/>
      <c r="J8" s="101"/>
      <c r="K8" s="91"/>
    </row>
    <row r="9" spans="2:11" x14ac:dyDescent="0.2">
      <c r="B9" s="99"/>
      <c r="C9" s="106" t="s">
        <v>102</v>
      </c>
      <c r="D9" s="122">
        <v>1500</v>
      </c>
      <c r="E9" s="105">
        <v>2013</v>
      </c>
      <c r="F9" s="102">
        <v>5</v>
      </c>
      <c r="G9" s="102">
        <f>IF((D$4+1)-E9&lt;F9,(D$4+1)-E9,F9)</f>
        <v>5</v>
      </c>
      <c r="H9" s="101">
        <f>1/F9*D9</f>
        <v>300</v>
      </c>
      <c r="I9" s="101">
        <f>D9-J9</f>
        <v>1500</v>
      </c>
      <c r="J9" s="101">
        <f>D9-G9*H9</f>
        <v>0</v>
      </c>
      <c r="K9" s="91"/>
    </row>
    <row r="10" spans="2:11" x14ac:dyDescent="0.2">
      <c r="B10" s="99"/>
      <c r="C10" s="106" t="s">
        <v>101</v>
      </c>
      <c r="D10" s="122">
        <v>222</v>
      </c>
      <c r="E10" s="105">
        <v>2014</v>
      </c>
      <c r="F10" s="102">
        <v>5</v>
      </c>
      <c r="G10" s="102">
        <f>IF((D$4+1)-E10&lt;F10,(D$4+1)-E10,F10)</f>
        <v>4</v>
      </c>
      <c r="H10" s="101">
        <f>1/F10*D10</f>
        <v>44.400000000000006</v>
      </c>
      <c r="I10" s="101">
        <f>D10-J10</f>
        <v>177.60000000000002</v>
      </c>
      <c r="J10" s="101">
        <f>D10-G10*H10</f>
        <v>44.399999999999977</v>
      </c>
      <c r="K10" s="91"/>
    </row>
    <row r="11" spans="2:11" x14ac:dyDescent="0.2">
      <c r="B11" s="99"/>
      <c r="C11" s="106"/>
      <c r="D11" s="122"/>
      <c r="E11" s="105"/>
      <c r="F11" s="102"/>
      <c r="G11" s="102"/>
      <c r="H11" s="101"/>
      <c r="I11" s="101"/>
      <c r="J11" s="101"/>
      <c r="K11" s="91"/>
    </row>
    <row r="12" spans="2:11" x14ac:dyDescent="0.2">
      <c r="B12" s="99"/>
      <c r="C12" s="107" t="s">
        <v>100</v>
      </c>
      <c r="D12" s="122"/>
      <c r="E12" s="105"/>
      <c r="F12" s="102"/>
      <c r="G12" s="102"/>
      <c r="H12" s="101"/>
      <c r="I12" s="101"/>
      <c r="J12" s="101"/>
      <c r="K12" s="91"/>
    </row>
    <row r="13" spans="2:11" x14ac:dyDescent="0.2">
      <c r="B13" s="99"/>
      <c r="C13" s="106"/>
      <c r="D13" s="122"/>
      <c r="E13" s="105"/>
      <c r="F13" s="102"/>
      <c r="G13" s="102"/>
      <c r="H13" s="101"/>
      <c r="I13" s="101"/>
      <c r="J13" s="101"/>
      <c r="K13" s="91"/>
    </row>
    <row r="14" spans="2:11" x14ac:dyDescent="0.2">
      <c r="B14" s="99"/>
      <c r="C14" s="106" t="s">
        <v>117</v>
      </c>
      <c r="D14" s="122">
        <v>1818</v>
      </c>
      <c r="E14" s="105">
        <v>2015</v>
      </c>
      <c r="F14" s="102">
        <v>5</v>
      </c>
      <c r="G14" s="102">
        <f>IF((D$4+1)-E14&lt;F14,(D$4+1)-E14,F14)</f>
        <v>3</v>
      </c>
      <c r="H14" s="101">
        <f>1/F14*D14</f>
        <v>363.6</v>
      </c>
      <c r="I14" s="101">
        <f>D14-J14</f>
        <v>1090.8000000000002</v>
      </c>
      <c r="J14" s="101">
        <f>D14-G14*H14</f>
        <v>727.19999999999982</v>
      </c>
      <c r="K14" s="91"/>
    </row>
    <row r="15" spans="2:11" x14ac:dyDescent="0.2">
      <c r="B15" s="99"/>
      <c r="C15" s="106" t="s">
        <v>130</v>
      </c>
      <c r="D15" s="122">
        <v>950</v>
      </c>
      <c r="E15" s="105">
        <v>2017</v>
      </c>
      <c r="F15" s="102">
        <v>5</v>
      </c>
      <c r="G15" s="102">
        <f>IF((D$4+1)-E15&lt;F15,(D$4+1)-E15,F15)</f>
        <v>1</v>
      </c>
      <c r="H15" s="101">
        <f>1/F15*D15</f>
        <v>190</v>
      </c>
      <c r="I15" s="101">
        <f>D15-J15</f>
        <v>190</v>
      </c>
      <c r="J15" s="101">
        <f>D15-G15*H15</f>
        <v>760</v>
      </c>
      <c r="K15" s="91"/>
    </row>
    <row r="16" spans="2:11" x14ac:dyDescent="0.2">
      <c r="B16" s="99"/>
      <c r="C16" s="106"/>
      <c r="D16" s="122"/>
      <c r="E16" s="105"/>
      <c r="F16" s="102"/>
      <c r="G16" s="102"/>
      <c r="H16" s="101"/>
      <c r="I16" s="101"/>
      <c r="J16" s="101"/>
      <c r="K16" s="91"/>
    </row>
    <row r="17" spans="2:13" x14ac:dyDescent="0.2">
      <c r="B17" s="99"/>
      <c r="C17" s="107" t="s">
        <v>99</v>
      </c>
      <c r="D17" s="122"/>
      <c r="E17" s="105"/>
      <c r="F17" s="102"/>
      <c r="G17" s="102"/>
      <c r="H17" s="101"/>
      <c r="I17" s="101"/>
      <c r="J17" s="101"/>
      <c r="K17" s="91"/>
      <c r="M17" s="154">
        <f>SUM(D14+D24+D26+D38+D39+D27)</f>
        <v>3596.58</v>
      </c>
    </row>
    <row r="18" spans="2:13" x14ac:dyDescent="0.2">
      <c r="B18" s="99"/>
      <c r="C18" s="106"/>
      <c r="D18" s="122"/>
      <c r="E18" s="105"/>
      <c r="F18" s="102"/>
      <c r="G18" s="102"/>
      <c r="H18" s="101"/>
      <c r="I18" s="101"/>
      <c r="J18" s="101"/>
      <c r="K18" s="91"/>
    </row>
    <row r="19" spans="2:13" x14ac:dyDescent="0.2">
      <c r="B19" s="99"/>
      <c r="C19" s="106" t="s">
        <v>98</v>
      </c>
      <c r="D19" s="122">
        <v>229</v>
      </c>
      <c r="E19" s="105">
        <v>2013</v>
      </c>
      <c r="F19" s="102">
        <v>5</v>
      </c>
      <c r="G19" s="102">
        <f t="shared" ref="G19:G27" si="0">IF((D$4+1)-E19&lt;F19,(D$4+1)-E19,F19)</f>
        <v>5</v>
      </c>
      <c r="H19" s="101">
        <f t="shared" ref="H19:H27" si="1">1/F19*D19</f>
        <v>45.800000000000004</v>
      </c>
      <c r="I19" s="101">
        <f t="shared" ref="I19:I27" si="2">D19-J19</f>
        <v>229</v>
      </c>
      <c r="J19" s="101">
        <f t="shared" ref="J19:J27" si="3">D19-G19*H19</f>
        <v>0</v>
      </c>
      <c r="K19" s="91"/>
    </row>
    <row r="20" spans="2:13" x14ac:dyDescent="0.2">
      <c r="B20" s="99"/>
      <c r="C20" s="106" t="s">
        <v>97</v>
      </c>
      <c r="D20" s="122">
        <v>450</v>
      </c>
      <c r="E20" s="105">
        <v>2013</v>
      </c>
      <c r="F20" s="102">
        <v>5</v>
      </c>
      <c r="G20" s="102">
        <f t="shared" si="0"/>
        <v>5</v>
      </c>
      <c r="H20" s="101">
        <f t="shared" si="1"/>
        <v>90</v>
      </c>
      <c r="I20" s="101">
        <f t="shared" si="2"/>
        <v>450</v>
      </c>
      <c r="J20" s="101">
        <f t="shared" si="3"/>
        <v>0</v>
      </c>
      <c r="K20" s="91"/>
    </row>
    <row r="21" spans="2:13" x14ac:dyDescent="0.2">
      <c r="B21" s="99"/>
      <c r="C21" s="106" t="s">
        <v>96</v>
      </c>
      <c r="D21" s="122">
        <v>88</v>
      </c>
      <c r="E21" s="105">
        <v>2013</v>
      </c>
      <c r="F21" s="102">
        <v>5</v>
      </c>
      <c r="G21" s="102">
        <f t="shared" si="0"/>
        <v>5</v>
      </c>
      <c r="H21" s="101">
        <f t="shared" si="1"/>
        <v>17.600000000000001</v>
      </c>
      <c r="I21" s="101">
        <f t="shared" si="2"/>
        <v>88</v>
      </c>
      <c r="J21" s="101">
        <f t="shared" si="3"/>
        <v>0</v>
      </c>
      <c r="K21" s="91"/>
    </row>
    <row r="22" spans="2:13" x14ac:dyDescent="0.2">
      <c r="B22" s="99"/>
      <c r="C22" s="106" t="s">
        <v>95</v>
      </c>
      <c r="D22" s="122">
        <v>177</v>
      </c>
      <c r="E22" s="105">
        <v>2014</v>
      </c>
      <c r="F22" s="102">
        <v>5</v>
      </c>
      <c r="G22" s="102">
        <f t="shared" si="0"/>
        <v>4</v>
      </c>
      <c r="H22" s="101">
        <f t="shared" si="1"/>
        <v>35.4</v>
      </c>
      <c r="I22" s="101">
        <f t="shared" si="2"/>
        <v>141.6</v>
      </c>
      <c r="J22" s="101">
        <f t="shared" si="3"/>
        <v>35.400000000000006</v>
      </c>
      <c r="K22" s="91"/>
    </row>
    <row r="23" spans="2:13" x14ac:dyDescent="0.2">
      <c r="B23" s="99"/>
      <c r="C23" s="106" t="s">
        <v>94</v>
      </c>
      <c r="D23" s="122">
        <v>101.8</v>
      </c>
      <c r="E23" s="105">
        <v>2014</v>
      </c>
      <c r="F23" s="102">
        <v>5</v>
      </c>
      <c r="G23" s="102">
        <f t="shared" si="0"/>
        <v>4</v>
      </c>
      <c r="H23" s="101">
        <f t="shared" si="1"/>
        <v>20.36</v>
      </c>
      <c r="I23" s="101">
        <f t="shared" si="2"/>
        <v>81.44</v>
      </c>
      <c r="J23" s="101">
        <f t="shared" si="3"/>
        <v>20.36</v>
      </c>
      <c r="K23" s="91"/>
    </row>
    <row r="24" spans="2:13" x14ac:dyDescent="0.2">
      <c r="B24" s="99"/>
      <c r="C24" s="106" t="s">
        <v>120</v>
      </c>
      <c r="D24" s="122">
        <v>640.58000000000004</v>
      </c>
      <c r="E24" s="105">
        <v>2015</v>
      </c>
      <c r="F24" s="102">
        <v>5</v>
      </c>
      <c r="G24" s="102">
        <f t="shared" si="0"/>
        <v>3</v>
      </c>
      <c r="H24" s="101">
        <f t="shared" si="1"/>
        <v>128.11600000000001</v>
      </c>
      <c r="I24" s="101">
        <f t="shared" si="2"/>
        <v>384.34800000000007</v>
      </c>
      <c r="J24" s="101">
        <f t="shared" si="3"/>
        <v>256.23199999999997</v>
      </c>
      <c r="K24" s="91"/>
    </row>
    <row r="25" spans="2:13" x14ac:dyDescent="0.2">
      <c r="B25" s="99"/>
      <c r="C25" s="106" t="s">
        <v>93</v>
      </c>
      <c r="D25" s="122">
        <v>75</v>
      </c>
      <c r="E25" s="105">
        <v>2014</v>
      </c>
      <c r="F25" s="102">
        <v>5</v>
      </c>
      <c r="G25" s="102">
        <f t="shared" si="0"/>
        <v>4</v>
      </c>
      <c r="H25" s="101">
        <f t="shared" si="1"/>
        <v>15</v>
      </c>
      <c r="I25" s="101">
        <f t="shared" si="2"/>
        <v>60</v>
      </c>
      <c r="J25" s="101">
        <f t="shared" si="3"/>
        <v>15</v>
      </c>
      <c r="K25" s="91"/>
    </row>
    <row r="26" spans="2:13" x14ac:dyDescent="0.2">
      <c r="B26" s="99"/>
      <c r="C26" s="106" t="s">
        <v>121</v>
      </c>
      <c r="D26" s="122">
        <v>138</v>
      </c>
      <c r="E26" s="105">
        <v>2015</v>
      </c>
      <c r="F26" s="102">
        <v>5</v>
      </c>
      <c r="G26" s="102">
        <f t="shared" si="0"/>
        <v>3</v>
      </c>
      <c r="H26" s="101">
        <f t="shared" si="1"/>
        <v>27.6</v>
      </c>
      <c r="I26" s="101">
        <f t="shared" si="2"/>
        <v>82.800000000000011</v>
      </c>
      <c r="J26" s="101">
        <f t="shared" si="3"/>
        <v>55.199999999999989</v>
      </c>
      <c r="K26" s="91"/>
    </row>
    <row r="27" spans="2:13" x14ac:dyDescent="0.2">
      <c r="B27" s="99"/>
      <c r="C27" s="106" t="s">
        <v>122</v>
      </c>
      <c r="D27" s="122">
        <v>205</v>
      </c>
      <c r="E27" s="105">
        <v>2015</v>
      </c>
      <c r="F27" s="102">
        <v>5</v>
      </c>
      <c r="G27" s="102">
        <f t="shared" si="0"/>
        <v>3</v>
      </c>
      <c r="H27" s="101">
        <f t="shared" si="1"/>
        <v>41</v>
      </c>
      <c r="I27" s="101">
        <f t="shared" si="2"/>
        <v>123</v>
      </c>
      <c r="J27" s="101">
        <f t="shared" si="3"/>
        <v>82</v>
      </c>
      <c r="K27" s="91"/>
    </row>
    <row r="28" spans="2:13" x14ac:dyDescent="0.2">
      <c r="B28" s="99"/>
      <c r="C28" s="106"/>
      <c r="D28" s="122"/>
      <c r="E28" s="105"/>
      <c r="F28" s="102"/>
      <c r="G28" s="102"/>
      <c r="H28" s="101"/>
      <c r="I28" s="101"/>
      <c r="J28" s="101"/>
      <c r="K28" s="91"/>
    </row>
    <row r="29" spans="2:13" x14ac:dyDescent="0.2">
      <c r="B29" s="99"/>
      <c r="C29" s="107" t="s">
        <v>92</v>
      </c>
      <c r="D29" s="122"/>
      <c r="E29" s="105"/>
      <c r="F29" s="102"/>
      <c r="G29" s="102"/>
      <c r="H29" s="101"/>
      <c r="I29" s="101"/>
      <c r="J29" s="101"/>
      <c r="K29" s="91"/>
    </row>
    <row r="30" spans="2:13" x14ac:dyDescent="0.2">
      <c r="B30" s="99"/>
      <c r="C30" s="106"/>
      <c r="D30" s="122"/>
      <c r="E30" s="105"/>
      <c r="F30" s="102"/>
      <c r="G30" s="102"/>
      <c r="H30" s="101"/>
      <c r="I30" s="101"/>
      <c r="J30" s="101"/>
      <c r="K30" s="91"/>
    </row>
    <row r="31" spans="2:13" x14ac:dyDescent="0.2">
      <c r="B31" s="99"/>
      <c r="C31" s="104"/>
      <c r="D31" s="122"/>
      <c r="E31" s="105"/>
      <c r="F31" s="102"/>
      <c r="G31" s="102"/>
      <c r="H31" s="101"/>
      <c r="I31" s="101"/>
      <c r="J31" s="101"/>
      <c r="K31" s="91"/>
    </row>
    <row r="32" spans="2:13" x14ac:dyDescent="0.2">
      <c r="B32" s="99"/>
      <c r="C32" s="104" t="s">
        <v>91</v>
      </c>
      <c r="D32" s="122">
        <v>183</v>
      </c>
      <c r="E32" s="105">
        <v>2013</v>
      </c>
      <c r="F32" s="102">
        <v>5</v>
      </c>
      <c r="G32" s="102">
        <f t="shared" ref="G32:G39" si="4">IF((D$4+1)-E32&lt;F32,(D$4+1)-E32,F32)</f>
        <v>5</v>
      </c>
      <c r="H32" s="101">
        <f t="shared" ref="H32:H39" si="5">1/F32*D32</f>
        <v>36.6</v>
      </c>
      <c r="I32" s="101">
        <f t="shared" ref="I32:I39" si="6">D32-J32</f>
        <v>183</v>
      </c>
      <c r="J32" s="101">
        <f t="shared" ref="J32:J39" si="7">D32-G32*H32</f>
        <v>0</v>
      </c>
      <c r="K32" s="91"/>
    </row>
    <row r="33" spans="1:11" x14ac:dyDescent="0.2">
      <c r="B33" s="99"/>
      <c r="C33" s="104" t="s">
        <v>90</v>
      </c>
      <c r="D33" s="122">
        <v>437.8</v>
      </c>
      <c r="E33" s="105">
        <v>2013</v>
      </c>
      <c r="F33" s="102">
        <v>5</v>
      </c>
      <c r="G33" s="102">
        <f t="shared" si="4"/>
        <v>5</v>
      </c>
      <c r="H33" s="101">
        <f t="shared" si="5"/>
        <v>87.56</v>
      </c>
      <c r="I33" s="101">
        <f t="shared" si="6"/>
        <v>437.8</v>
      </c>
      <c r="J33" s="101">
        <f t="shared" si="7"/>
        <v>0</v>
      </c>
      <c r="K33" s="91"/>
    </row>
    <row r="34" spans="1:11" x14ac:dyDescent="0.2">
      <c r="B34" s="99"/>
      <c r="C34" s="104" t="s">
        <v>89</v>
      </c>
      <c r="D34" s="122">
        <v>290</v>
      </c>
      <c r="E34" s="105">
        <v>2013</v>
      </c>
      <c r="F34" s="102">
        <v>5</v>
      </c>
      <c r="G34" s="102">
        <f t="shared" si="4"/>
        <v>5</v>
      </c>
      <c r="H34" s="101">
        <f t="shared" si="5"/>
        <v>58</v>
      </c>
      <c r="I34" s="101">
        <f t="shared" si="6"/>
        <v>290</v>
      </c>
      <c r="J34" s="101">
        <f t="shared" si="7"/>
        <v>0</v>
      </c>
      <c r="K34" s="91"/>
    </row>
    <row r="35" spans="1:11" x14ac:dyDescent="0.2">
      <c r="B35" s="99"/>
      <c r="C35" s="104" t="s">
        <v>88</v>
      </c>
      <c r="D35" s="123">
        <v>1084.02</v>
      </c>
      <c r="E35" s="105">
        <v>2013</v>
      </c>
      <c r="F35" s="102">
        <v>5</v>
      </c>
      <c r="G35" s="102">
        <f t="shared" si="4"/>
        <v>5</v>
      </c>
      <c r="H35" s="101">
        <f t="shared" si="5"/>
        <v>216.804</v>
      </c>
      <c r="I35" s="101">
        <f t="shared" si="6"/>
        <v>1084.02</v>
      </c>
      <c r="J35" s="101">
        <f t="shared" si="7"/>
        <v>0</v>
      </c>
      <c r="K35" s="91"/>
    </row>
    <row r="36" spans="1:11" x14ac:dyDescent="0.2">
      <c r="B36" s="99"/>
      <c r="C36" s="104" t="s">
        <v>87</v>
      </c>
      <c r="D36" s="123">
        <v>95</v>
      </c>
      <c r="E36" s="105">
        <v>2014</v>
      </c>
      <c r="F36" s="103">
        <v>5</v>
      </c>
      <c r="G36" s="102">
        <f t="shared" si="4"/>
        <v>4</v>
      </c>
      <c r="H36" s="101">
        <f t="shared" si="5"/>
        <v>19</v>
      </c>
      <c r="I36" s="101">
        <f t="shared" si="6"/>
        <v>76</v>
      </c>
      <c r="J36" s="101">
        <f t="shared" si="7"/>
        <v>19</v>
      </c>
      <c r="K36" s="91"/>
    </row>
    <row r="37" spans="1:11" x14ac:dyDescent="0.2">
      <c r="B37" s="99"/>
      <c r="C37" s="148" t="s">
        <v>86</v>
      </c>
      <c r="D37" s="149">
        <v>177.9</v>
      </c>
      <c r="E37" s="85">
        <v>2014</v>
      </c>
      <c r="F37" s="85">
        <v>5</v>
      </c>
      <c r="G37" s="150">
        <f t="shared" si="4"/>
        <v>4</v>
      </c>
      <c r="H37" s="101">
        <f t="shared" si="5"/>
        <v>35.580000000000005</v>
      </c>
      <c r="I37" s="101">
        <f t="shared" si="6"/>
        <v>142.32000000000002</v>
      </c>
      <c r="J37" s="101">
        <f t="shared" si="7"/>
        <v>35.579999999999984</v>
      </c>
      <c r="K37" s="91"/>
    </row>
    <row r="38" spans="1:11" x14ac:dyDescent="0.2">
      <c r="B38" s="99"/>
      <c r="C38" s="148" t="s">
        <v>118</v>
      </c>
      <c r="D38" s="149">
        <v>300</v>
      </c>
      <c r="E38" s="85">
        <v>2015</v>
      </c>
      <c r="F38" s="85">
        <v>5</v>
      </c>
      <c r="G38" s="103">
        <f t="shared" si="4"/>
        <v>3</v>
      </c>
      <c r="H38" s="97">
        <f t="shared" si="5"/>
        <v>60</v>
      </c>
      <c r="I38" s="97">
        <f t="shared" si="6"/>
        <v>180</v>
      </c>
      <c r="J38" s="97">
        <f t="shared" si="7"/>
        <v>120</v>
      </c>
      <c r="K38" s="91"/>
    </row>
    <row r="39" spans="1:11" x14ac:dyDescent="0.2">
      <c r="B39" s="99"/>
      <c r="C39" s="148" t="s">
        <v>119</v>
      </c>
      <c r="D39" s="149">
        <v>495</v>
      </c>
      <c r="E39" s="85">
        <v>2015</v>
      </c>
      <c r="F39" s="85">
        <v>5</v>
      </c>
      <c r="G39" s="103">
        <f t="shared" si="4"/>
        <v>3</v>
      </c>
      <c r="H39" s="97">
        <f t="shared" si="5"/>
        <v>99</v>
      </c>
      <c r="I39" s="97">
        <f t="shared" si="6"/>
        <v>297</v>
      </c>
      <c r="J39" s="97">
        <f t="shared" si="7"/>
        <v>198</v>
      </c>
      <c r="K39" s="91"/>
    </row>
    <row r="40" spans="1:11" ht="13.5" thickBot="1" x14ac:dyDescent="0.25">
      <c r="A40" s="100"/>
      <c r="B40" s="99"/>
      <c r="C40" s="151"/>
      <c r="D40" s="152"/>
      <c r="E40" s="153"/>
      <c r="F40" s="153"/>
      <c r="G40" s="103"/>
      <c r="H40" s="97"/>
      <c r="I40" s="97"/>
      <c r="J40" s="97"/>
      <c r="K40" s="91"/>
    </row>
    <row r="41" spans="1:11" x14ac:dyDescent="0.2">
      <c r="A41" s="86"/>
      <c r="B41" s="90"/>
      <c r="C41" s="98" t="s">
        <v>85</v>
      </c>
      <c r="D41" s="97">
        <f>SUM(D8:D39)</f>
        <v>9657.1</v>
      </c>
      <c r="E41" s="96"/>
      <c r="F41" s="96"/>
      <c r="G41" s="95"/>
      <c r="H41" s="94">
        <f>SUM(H8:H39)</f>
        <v>1931.4199999999996</v>
      </c>
      <c r="I41" s="93" t="s">
        <v>85</v>
      </c>
      <c r="J41" s="92">
        <f>SUM(J8:J39)</f>
        <v>2368.3719999999998</v>
      </c>
      <c r="K41" s="87"/>
    </row>
    <row r="42" spans="1:11" x14ac:dyDescent="0.2">
      <c r="A42" s="86"/>
      <c r="B42" s="84"/>
      <c r="C42" s="89"/>
      <c r="D42" s="89"/>
      <c r="E42" s="89"/>
      <c r="F42" s="89"/>
      <c r="G42" s="89"/>
      <c r="H42" s="89"/>
      <c r="I42" s="89"/>
      <c r="J42" s="88"/>
    </row>
    <row r="43" spans="1:11" x14ac:dyDescent="0.2">
      <c r="A43" s="85"/>
      <c r="B43" s="84"/>
      <c r="C43" s="84"/>
      <c r="D43" s="84"/>
      <c r="E43" s="84"/>
      <c r="F43" s="84"/>
      <c r="G43" s="84"/>
      <c r="I43" s="84"/>
    </row>
    <row r="44" spans="1:11" x14ac:dyDescent="0.2">
      <c r="A44" s="85"/>
      <c r="B44" s="84"/>
      <c r="D44" s="84"/>
      <c r="E44" s="84"/>
      <c r="F44" s="84"/>
      <c r="G44" s="84"/>
      <c r="I44" s="84"/>
    </row>
    <row r="45" spans="1:11" x14ac:dyDescent="0.2">
      <c r="A45" s="85"/>
      <c r="B45" s="84"/>
      <c r="C45" s="84"/>
      <c r="D45" s="84"/>
      <c r="E45" s="84"/>
      <c r="F45" s="84"/>
      <c r="G45" s="84"/>
      <c r="I45" s="84"/>
    </row>
    <row r="46" spans="1:11" x14ac:dyDescent="0.2">
      <c r="A46" s="85"/>
      <c r="B46" s="84"/>
      <c r="C46" s="84"/>
      <c r="D46" s="84"/>
      <c r="E46" s="84"/>
      <c r="F46" s="84"/>
      <c r="G46" s="84"/>
      <c r="I46" s="84"/>
    </row>
    <row r="47" spans="1:11" x14ac:dyDescent="0.2">
      <c r="A47" s="85"/>
      <c r="B47" s="84"/>
      <c r="C47" s="84"/>
      <c r="D47" s="84"/>
      <c r="E47" s="84"/>
      <c r="F47" s="84"/>
      <c r="G47" s="84"/>
      <c r="I47" s="84"/>
    </row>
    <row r="48" spans="1:11" x14ac:dyDescent="0.2">
      <c r="A48" s="85"/>
      <c r="B48" s="84"/>
      <c r="C48" s="84"/>
      <c r="D48" s="84"/>
      <c r="E48" s="84"/>
      <c r="F48" s="84"/>
      <c r="G48" s="84"/>
      <c r="I48" s="84"/>
    </row>
    <row r="49" spans="1:9" x14ac:dyDescent="0.2">
      <c r="A49" s="85"/>
      <c r="B49" s="84"/>
      <c r="C49" s="84"/>
      <c r="D49" s="84"/>
      <c r="E49" s="84"/>
      <c r="F49" s="84"/>
      <c r="G49" s="84"/>
      <c r="I49" s="84"/>
    </row>
    <row r="50" spans="1:9" x14ac:dyDescent="0.2">
      <c r="A50" s="85"/>
      <c r="B50" s="84"/>
      <c r="C50" s="84"/>
      <c r="D50" s="84"/>
      <c r="E50" s="84"/>
      <c r="F50" s="84"/>
      <c r="G50" s="84"/>
      <c r="I50" s="84"/>
    </row>
    <row r="51" spans="1:9" x14ac:dyDescent="0.2">
      <c r="A51" s="85"/>
      <c r="B51" s="84"/>
      <c r="C51" s="84"/>
      <c r="D51" s="84"/>
      <c r="E51" s="84"/>
      <c r="F51" s="84"/>
      <c r="G51" s="84"/>
      <c r="I51" s="84"/>
    </row>
    <row r="52" spans="1:9" x14ac:dyDescent="0.2">
      <c r="A52" s="85"/>
      <c r="B52" s="84"/>
      <c r="C52" s="84"/>
      <c r="D52" s="84"/>
      <c r="E52" s="84"/>
      <c r="F52" s="84"/>
      <c r="G52" s="84"/>
      <c r="I52" s="84"/>
    </row>
    <row r="53" spans="1:9" x14ac:dyDescent="0.2">
      <c r="A53" s="85"/>
      <c r="B53" s="84"/>
      <c r="C53" s="84"/>
      <c r="D53" s="84"/>
      <c r="E53" s="84"/>
      <c r="F53" s="84"/>
      <c r="G53" s="84"/>
      <c r="I53" s="84"/>
    </row>
    <row r="54" spans="1:9" x14ac:dyDescent="0.2">
      <c r="C54" s="84"/>
      <c r="D54" s="84"/>
      <c r="E54" s="84"/>
      <c r="F54" s="84"/>
      <c r="G54" s="84"/>
      <c r="I54" s="84"/>
    </row>
  </sheetData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Tuloslaskelma</vt:lpstr>
      <vt:lpstr>Tase</vt:lpstr>
      <vt:lpstr>Talousarvio</vt:lpstr>
      <vt:lpstr>Poistosuunnitelma</vt:lpstr>
      <vt:lpstr>Tuloslaskelma!Print_Area</vt:lpstr>
    </vt:vector>
  </TitlesOfParts>
  <Company>Plop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Heikkinen</dc:creator>
  <cp:keywords>Spinni</cp:keywords>
  <cp:lastModifiedBy>Markus Uusitalo</cp:lastModifiedBy>
  <cp:lastPrinted>2014-04-15T14:42:51Z</cp:lastPrinted>
  <dcterms:created xsi:type="dcterms:W3CDTF">2013-04-17T10:24:19Z</dcterms:created>
  <dcterms:modified xsi:type="dcterms:W3CDTF">2017-11-22T20:20:49Z</dcterms:modified>
</cp:coreProperties>
</file>